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ms+BiygC98LkxCt6hWfFOOmqi84Lnv9JDdmy3sh7t1o+3S74RgnixyM9p23JAgCDQnhcX0MeXBd5wt30XHFnMQ==" workbookSaltValue="inTVav504rn8UoNC3/IE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F17" i="13"/>
  <c r="AE20" i="8" l="1"/>
  <c r="AC20" i="8"/>
  <c r="C19" i="7"/>
  <c r="B19" i="2"/>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AR21" i="27"/>
  <c r="V21" i="26"/>
  <c r="Q21" i="26"/>
  <c r="K21" i="20"/>
  <c r="V21" i="27"/>
  <c r="AN21" i="20"/>
  <c r="AC21" i="20"/>
  <c r="AP21" i="27"/>
  <c r="AT21" i="26"/>
  <c r="AO21" i="20"/>
  <c r="AD21" i="27"/>
  <c r="AQ21" i="21"/>
  <c r="AZ21" i="27"/>
  <c r="E21" i="26"/>
  <c r="BJ21" i="26"/>
  <c r="X21" i="20"/>
  <c r="AA21" i="26"/>
  <c r="P21" i="20"/>
  <c r="BR21" i="26"/>
  <c r="AN21" i="27"/>
  <c r="BI21" i="26"/>
  <c r="BA21" i="26"/>
  <c r="AX21" i="20"/>
  <c r="BB21" i="26"/>
  <c r="T21" i="27"/>
  <c r="AB21" i="20"/>
  <c r="AL21" i="20"/>
  <c r="Z21" i="20"/>
  <c r="AG21" i="27"/>
  <c r="G13" i="14"/>
  <c r="AE21" i="26"/>
  <c r="J21" i="26"/>
  <c r="R21" i="26"/>
  <c r="Y21" i="27"/>
  <c r="AQ21" i="20"/>
  <c r="AX21" i="27"/>
  <c r="N21" i="26"/>
  <c r="AP21" i="20"/>
  <c r="U18" i="11"/>
  <c r="I21" i="27"/>
  <c r="O10" i="11"/>
  <c r="AO21" i="27"/>
  <c r="K18" i="12" l="1"/>
  <c r="BM20" i="26"/>
  <c r="Z20" i="17"/>
  <c r="G20" i="7"/>
  <c r="I10" i="12"/>
  <c r="J9"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D13" i="14"/>
  <c r="M13" i="14"/>
  <c r="AA13" i="14"/>
  <c r="P13" i="14"/>
  <c r="X13" i="14"/>
  <c r="AB13" i="14"/>
  <c r="Z13" i="14"/>
  <c r="Y13" i="14"/>
  <c r="W13" i="14"/>
  <c r="Q13" i="14"/>
  <c r="AC13" i="14"/>
  <c r="H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F21" i="16"/>
  <c r="AG21" i="16"/>
  <c r="AC21" i="21"/>
  <c r="Q21" i="11"/>
  <c r="L21" i="17"/>
  <c r="BC21" i="21"/>
  <c r="L21" i="11"/>
  <c r="R21" i="21"/>
  <c r="X21" i="21"/>
  <c r="BA21" i="16"/>
  <c r="AI21" i="21"/>
  <c r="AU21" i="11"/>
  <c r="O21" i="21"/>
  <c r="AE21" i="17"/>
  <c r="V21" i="20"/>
  <c r="AI21" i="17"/>
  <c r="Z21" i="16"/>
  <c r="T21" i="16"/>
  <c r="AG21" i="11"/>
  <c r="V21" i="21"/>
  <c r="AJ21" i="16"/>
  <c r="AR21" i="21"/>
  <c r="P21" i="11"/>
  <c r="AF21" i="11"/>
  <c r="Y21" i="16"/>
  <c r="Y21" i="11"/>
  <c r="AO21" i="21"/>
  <c r="O12" i="11"/>
  <c r="AT21" i="11"/>
  <c r="BF21" i="16"/>
  <c r="AG21" i="17"/>
  <c r="BE21" i="16"/>
  <c r="Z21" i="11"/>
  <c r="I21" i="11"/>
  <c r="U21" i="21"/>
  <c r="BQ21" i="16"/>
  <c r="E21" i="17"/>
  <c r="AO21" i="11"/>
  <c r="AB21" i="17"/>
  <c r="U21" i="11"/>
  <c r="F21" i="21"/>
  <c r="AZ21" i="16"/>
  <c r="V21" i="17"/>
  <c r="AV21" i="16"/>
  <c r="AB21" i="21"/>
  <c r="AE21" i="21"/>
  <c r="P21" i="17"/>
  <c r="W21" i="17"/>
  <c r="H21" i="12"/>
  <c r="O21" i="11"/>
  <c r="E21" i="21"/>
  <c r="AN21" i="17"/>
  <c r="AP21" i="17"/>
  <c r="AT21" i="20"/>
  <c r="F21" i="11"/>
  <c r="AR21" i="16"/>
  <c r="AZ21" i="11"/>
  <c r="AV21" i="11"/>
  <c r="I21" i="12"/>
  <c r="BO21" i="16"/>
  <c r="AF21" i="21"/>
  <c r="N21" i="16"/>
  <c r="AS21" i="17"/>
  <c r="BS21" i="16"/>
  <c r="AB21" i="11"/>
  <c r="V21" i="11"/>
  <c r="I21" i="17"/>
  <c r="AD21" i="21"/>
  <c r="E21" i="16"/>
  <c r="AU21" i="21"/>
  <c r="AS21" i="11"/>
  <c r="T21" i="11"/>
  <c r="X21" i="16"/>
  <c r="U21" i="16"/>
  <c r="BI21" i="16"/>
  <c r="AR21" i="11"/>
  <c r="L21" i="16"/>
  <c r="AM21" i="21"/>
  <c r="AN21" i="11"/>
  <c r="S21" i="16"/>
  <c r="AM21" i="17"/>
  <c r="AL21" i="21"/>
  <c r="AK21" i="17"/>
  <c r="M21" i="16"/>
  <c r="AY21" i="16"/>
  <c r="BK21" i="16"/>
  <c r="J21" i="11"/>
  <c r="AJ21" i="11"/>
  <c r="K21" i="12"/>
  <c r="H21" i="16"/>
  <c r="K21" i="11"/>
  <c r="S21" i="11"/>
  <c r="K21" i="21"/>
  <c r="AE21" i="11"/>
  <c r="T21" i="17"/>
  <c r="AP21" i="16"/>
  <c r="AX21" i="16"/>
  <c r="AY21" i="21"/>
  <c r="O21" i="16"/>
  <c r="P21" i="16"/>
  <c r="X21" i="11"/>
  <c r="D21" i="12"/>
  <c r="Q21" i="17"/>
  <c r="AQ21" i="17" l="1"/>
  <c r="EI16" i="16"/>
  <c r="EJ12" i="16"/>
  <c r="EJ10" i="16"/>
  <c r="EI10" i="16"/>
  <c r="EI11" i="16"/>
  <c r="EJ17" i="16"/>
  <c r="EJ18" i="16"/>
  <c r="EI15" i="16"/>
  <c r="EJ16" i="16"/>
  <c r="EI17" i="16"/>
  <c r="EJ15" i="16"/>
  <c r="EI9" i="16"/>
  <c r="EJ9" i="16"/>
  <c r="EJ11" i="16"/>
  <c r="EI12" i="16"/>
  <c r="EI18" i="16"/>
  <c r="EN10" i="16"/>
  <c r="EM18" i="16"/>
  <c r="EN11" i="16"/>
  <c r="EM11" i="16"/>
  <c r="EM9" i="16"/>
  <c r="EN12" i="16"/>
  <c r="EM17" i="16"/>
  <c r="EN16" i="16"/>
  <c r="EM16" i="16"/>
  <c r="EM10" i="16"/>
  <c r="EN18" i="16"/>
  <c r="EN15" i="16"/>
  <c r="EN17" i="16"/>
  <c r="EN9" i="16"/>
  <c r="EM12" i="16"/>
  <c r="EM15" i="16"/>
  <c r="AP21" i="11"/>
  <c r="CB17" i="16"/>
  <c r="CB10" i="16"/>
  <c r="CB11" i="16"/>
  <c r="CC18" i="16"/>
  <c r="CB18" i="16"/>
  <c r="CC10" i="16"/>
  <c r="CB12" i="16"/>
  <c r="CC16" i="16"/>
  <c r="CB16" i="16"/>
  <c r="CB15" i="16"/>
  <c r="CC12" i="16"/>
  <c r="CC15" i="16"/>
  <c r="CC9" i="16"/>
  <c r="CB9" i="16"/>
  <c r="CC17"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Q10" i="16"/>
  <c r="CR15" i="16"/>
  <c r="CQ9" i="16"/>
  <c r="CQ11" i="16"/>
  <c r="CR10" i="16"/>
  <c r="CQ15" i="16"/>
  <c r="ER16" i="16"/>
  <c r="EQ16" i="16"/>
  <c r="EQ12" i="16"/>
  <c r="ER12" i="16"/>
  <c r="EQ9" i="16"/>
  <c r="EQ18" i="16"/>
  <c r="EQ10" i="16"/>
  <c r="EQ11" i="16"/>
  <c r="ER11" i="16"/>
  <c r="ER17" i="16"/>
  <c r="EQ15" i="16"/>
  <c r="ER15" i="16"/>
  <c r="ER9" i="16"/>
  <c r="ER10" i="16"/>
  <c r="EQ17" i="16"/>
  <c r="ER18" i="16"/>
  <c r="BZ16" i="16"/>
  <c r="BY10" i="16"/>
  <c r="BZ18" i="16"/>
  <c r="BY11" i="16"/>
  <c r="BY17" i="16"/>
  <c r="BZ10" i="16"/>
  <c r="BZ12" i="16"/>
  <c r="BL21" i="16"/>
  <c r="BY16" i="16"/>
  <c r="BY9" i="16"/>
  <c r="BY18" i="16"/>
  <c r="BY15" i="16"/>
  <c r="BZ9" i="16"/>
  <c r="BZ11" i="16"/>
  <c r="BZ15"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I18" i="16"/>
  <c r="CH17" i="16"/>
  <c r="CI11" i="16"/>
  <c r="CI12" i="16"/>
  <c r="CI17" i="16"/>
  <c r="CI10" i="16"/>
  <c r="DH16" i="16"/>
  <c r="DG10" i="16"/>
  <c r="DH18" i="16"/>
  <c r="DH12" i="16"/>
  <c r="DH9" i="16"/>
  <c r="DH17" i="16"/>
  <c r="DG18" i="16"/>
  <c r="DG11" i="16"/>
  <c r="DG16" i="16"/>
  <c r="DG17" i="16"/>
  <c r="DH15" i="16"/>
  <c r="DG12" i="16"/>
  <c r="DG9" i="16"/>
  <c r="DH11" i="16"/>
  <c r="DG15" i="16"/>
  <c r="DH10"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F10" i="16"/>
  <c r="CE17" i="16"/>
  <c r="CE15" i="16"/>
  <c r="CF11" i="16"/>
  <c r="CE10" i="16"/>
  <c r="CE11"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<sst xmlns="http://schemas.openxmlformats.org/spreadsheetml/2006/main" count="2513" uniqueCount="1026">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</sst>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AvYTUU6fBqTOlPonYi4YIN19nGdep3/SWj9v+eWfjRSHfsa8hljhnl0dOJel8ujcxmOMFgMNWqHALnvItcH/g==" saltValue="W0VavvDVq3z/ovJ7nX4d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84.880434782608688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63</v>
      </c>
      <c r="D10" s="224">
        <f>IF(ISNUMBER(Datos!I10),Datos!I10," - ")</f>
        <v>63</v>
      </c>
      <c r="E10" s="225">
        <f>IF(ISNUMBER(Datos!J10),Datos!J10," - ")</f>
        <v>15</v>
      </c>
      <c r="F10" s="225">
        <f>IF(ISNUMBER(Datos!K10),Datos!K10," - ")</f>
        <v>16</v>
      </c>
      <c r="G10" s="1029" t="str">
        <f>IF(Datos!E10&lt;&gt;"",Datos!E10,Datos!D10)</f>
        <v>37</v>
      </c>
      <c r="H10" s="226">
        <f>IF(ISNUMBER(Datos!L10),Datos!L10," - ")</f>
        <v>62</v>
      </c>
      <c r="I10" s="1039" t="str">
        <f>IF(ISNUMBER(Datos!AS10/Datos!BM10),Datos!AS10/Datos!BM10," - ")</f>
        <v xml:space="preserve"> - </v>
      </c>
      <c r="J10" s="1040">
        <f>IF(ISNUMBER(Datos!BY10/Datos!CN10),Datos!BY10/Datos!CN10," - ")</f>
        <v>0</v>
      </c>
      <c r="K10" s="229">
        <f t="shared" ref="K10:K12" si="1">IF(ISNUMBER((E10-F10)/C10),(E10-F10)/C10," - ")</f>
        <v>-1.5873015873015872E-2</v>
      </c>
      <c r="L10" s="1020">
        <f>IF(ISNUMBER(NºAsuntos!I10/NºAsuntos!G10),(NºAsuntos!I10/NºAsuntos!G10)*11," - ")</f>
        <v>42.625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63</v>
      </c>
      <c r="D13" s="1044">
        <f>SUBTOTAL(9,D9:D12)</f>
        <v>63</v>
      </c>
      <c r="E13" s="1045">
        <f>SUBTOTAL(9,E9:E12)</f>
        <v>15</v>
      </c>
      <c r="F13" s="1046">
        <f>SUBTOTAL(9,F9:F12)</f>
        <v>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3571</v>
      </c>
      <c r="D15" s="224">
        <f>IF(ISNUMBER(IF(D_I="SI",Datos!I15,Datos!I15+Datos!AC15)),IF(D_I="SI",Datos!I15,Datos!I15+Datos!AC15)," - ")</f>
        <v>3564</v>
      </c>
      <c r="E15" s="225">
        <f>IF(ISNUMBER(IF(D_I="SI",Datos!J15,Datos!J15+Datos!AD15)),IF(D_I="SI",Datos!J15,Datos!J15+Datos!AD15)," - ")</f>
        <v>2507</v>
      </c>
      <c r="F15" s="225">
        <f>IF(ISNUMBER(IF(D_I="SI",Datos!K15,Datos!K15+Datos!AE15)),IF(D_I="SI",Datos!K15,Datos!K15+Datos!AE15)," - ")</f>
        <v>2749</v>
      </c>
      <c r="G15" s="1029" t="str">
        <f>IF(Datos!E15&lt;&gt;"",Datos!E15,Datos!D15)</f>
        <v>03</v>
      </c>
      <c r="H15" s="226">
        <f>IF(ISNUMBER(IF(D_I="SI",Datos!L15,Datos!L15+Datos!AF15)),IF(D_I="SI",Datos!L15,Datos!L15+Datos!AF15)," - ")</f>
        <v>3329</v>
      </c>
      <c r="I15" s="1039" t="str">
        <f>IF(ISNUMBER(Datos!AS15/Datos!BM15),Datos!AS15/Datos!BM15," - ")</f>
        <v xml:space="preserve"> - </v>
      </c>
      <c r="J15" s="1040">
        <f>IF(ISNUMBER(Datos!BY15/Datos!CN15),Datos!BY15/Datos!CN15," - ")</f>
        <v>0</v>
      </c>
      <c r="K15" s="229">
        <f t="shared" ref="K15:K18" si="3">IF(ISNUMBER((E15-F15)/C15),(E15-F15)/C15," - ")</f>
        <v>-6.7768132175861098E-2</v>
      </c>
      <c r="L15" s="1020">
        <f>IF(ISNUMBER(NºAsuntos!I15/NºAsuntos!G15),(NºAsuntos!I15/NºAsuntos!G15)*11," - ")</f>
        <v>13.320843943252092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2</v>
      </c>
      <c r="D17" s="224">
        <f>IF(ISNUMBER(IF(D_I="SI",Datos!I17,Datos!I17+Datos!AC17)),IF(D_I="SI",Datos!I17,Datos!I17+Datos!AC17)," - ")</f>
        <v>2</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2</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272</v>
      </c>
      <c r="D18" s="224">
        <f>IF(ISNUMBER(IF(D_I="SI",Datos!I18,Datos!I18+Datos!AC18)),IF(D_I="SI",Datos!I18,Datos!I18+Datos!AC18)," - ")</f>
        <v>273</v>
      </c>
      <c r="E18" s="225">
        <f>IF(ISNUMBER(IF(D_I="SI",Datos!J18,Datos!J18+Datos!AD18)),IF(D_I="SI",Datos!J18,Datos!J18+Datos!AD18)," - ")</f>
        <v>228</v>
      </c>
      <c r="F18" s="225">
        <f>IF(ISNUMBER(IF(D_I="SI",Datos!K18,Datos!K18+Datos!AE18)),IF(D_I="SI",Datos!K18,Datos!K18+Datos!AE18)," - ")</f>
        <v>226</v>
      </c>
      <c r="G18" s="1029" t="str">
        <f>IF(Datos!E18&lt;&gt;"",Datos!E18,Datos!D18)</f>
        <v>37</v>
      </c>
      <c r="H18" s="226">
        <f>IF(ISNUMBER(IF(D_I="SI",Datos!L18,Datos!L18+Datos!AF18)),IF(D_I="SI",Datos!L18,Datos!L18+Datos!AF18)," - ")</f>
        <v>274</v>
      </c>
      <c r="I18" s="1039" t="str">
        <f>IF(ISNUMBER(Datos!AS18/Datos!BM18),Datos!AS18/Datos!BM18," - ")</f>
        <v xml:space="preserve"> - </v>
      </c>
      <c r="J18" s="1040" t="str">
        <f>IF(ISNUMBER((Datos!BY18+Datos!BZ18)/Datos!CN18),(Datos!BY18+Datos!BZ18)/Datos!CN18," - ")</f>
        <v xml:space="preserve"> - </v>
      </c>
      <c r="K18" s="229">
        <f t="shared" si="3"/>
        <v>7.3529411764705881E-3</v>
      </c>
      <c r="L18" s="1020">
        <f>IF(ISNUMBER(NºAsuntos!I18/NºAsuntos!G18),(NºAsuntos!I18/NºAsuntos!G18)*11," - ")</f>
        <v>13.33628318584071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3845</v>
      </c>
      <c r="D19" s="1044">
        <f>SUBTOTAL(9,D15:D18)</f>
        <v>3839</v>
      </c>
      <c r="E19" s="1045">
        <f>SUBTOTAL(9,E15:E18)</f>
        <v>2735</v>
      </c>
      <c r="F19" s="1045">
        <f>SUBTOTAL(9,F15:F18)</f>
        <v>2975</v>
      </c>
      <c r="G19" s="1047" t="str">
        <f ca="1">INDIRECT(CONCATENATE("G",ROW()-1))</f>
        <v>37</v>
      </c>
      <c r="H19" s="1048">
        <f ca="1">SUMIF(G$14:G18,G19,H$14:H18)</f>
        <v>274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3908</v>
      </c>
      <c r="D20" s="1066">
        <f>SUBTOTAL(9,D9:D19)</f>
        <v>3902</v>
      </c>
      <c r="E20" s="1067">
        <f>SUBTOTAL(9,E9:E19)</f>
        <v>2750</v>
      </c>
      <c r="F20" s="1067">
        <f>SUBTOTAL(9,F9:F19)</f>
        <v>2991</v>
      </c>
      <c r="G20" s="1068"/>
      <c r="H20" s="1069">
        <f ca="1">SUMIF(B9:B19,"TOTAL",H9:H19)</f>
        <v>274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WUoz6I8cmA3EXByKetKcQhH1qTUTM8lAnh+cs7Kt4ixYbo1O0bzXso1Dis/wqZSR4bfdw8t8JjRmD/Oi9p8Tg==" saltValue="OR8IKsB4C+T5QxMvCDe6f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HGGQz77vYljsD+eY7FKHIBq/FB5L+Mzm9nlgknnEXzZZsiMnvI2eM1i6eVev3wTVHHH1q9Vf4D1tBctx2bBrQ==" saltValue="a52JCzU28d/kA0RN4Ykw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14417</v>
      </c>
      <c r="J9" s="180">
        <v>2681</v>
      </c>
      <c r="K9" s="180">
        <v>1920</v>
      </c>
      <c r="L9" s="180">
        <v>15190</v>
      </c>
      <c r="M9" s="180">
        <v>399</v>
      </c>
      <c r="N9" s="180">
        <v>1147</v>
      </c>
      <c r="O9" s="180">
        <v>648</v>
      </c>
      <c r="P9" s="180">
        <v>401</v>
      </c>
      <c r="Q9" s="180">
        <v>814</v>
      </c>
      <c r="R9" s="180">
        <v>13082</v>
      </c>
      <c r="S9" s="180">
        <v>13960</v>
      </c>
      <c r="T9" s="180">
        <v>6136</v>
      </c>
      <c r="U9" s="180">
        <v>3888</v>
      </c>
      <c r="V9" s="180">
        <v>16207</v>
      </c>
      <c r="W9" s="180">
        <v>687</v>
      </c>
      <c r="X9" s="187">
        <v>2667</v>
      </c>
      <c r="Y9" s="190">
        <v>400</v>
      </c>
      <c r="Z9" s="180">
        <v>132</v>
      </c>
      <c r="AA9" s="180">
        <v>104</v>
      </c>
      <c r="AB9" s="180">
        <v>428</v>
      </c>
      <c r="AC9" s="180">
        <v>0</v>
      </c>
      <c r="AD9" s="180">
        <v>0</v>
      </c>
      <c r="AE9" s="180">
        <v>0</v>
      </c>
      <c r="AF9" s="187">
        <v>0</v>
      </c>
      <c r="AG9" s="190">
        <v>304</v>
      </c>
      <c r="AH9" s="180">
        <v>85</v>
      </c>
      <c r="AI9" s="180">
        <v>84</v>
      </c>
      <c r="AJ9" s="191">
        <v>295</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14264</v>
      </c>
      <c r="AZ9" s="123">
        <f>IF(ISNUMBER(IF(J_V="SI",T9,T9+AH9)),IF(J_V="SI",T9,T9+AH9)," - ")</f>
        <v>6221</v>
      </c>
      <c r="BA9" s="124">
        <f>IF(ISNUMBER(IF(J_V="SI",U9,U9+AI9)),IF(J_V="SI",U9,U9+AI9)," - ")</f>
        <v>3972</v>
      </c>
      <c r="BB9" s="124">
        <f>IF(ISNUMBER(IF(J_V="SI",V9,V9+AJ9)),IF(J_V="SI",V9,V9+AJ9)," - ")</f>
        <v>16502</v>
      </c>
      <c r="BC9" s="125">
        <f>IF(ISNUMBER(X9),X9," - ")</f>
        <v>2667</v>
      </c>
      <c r="BD9" s="126">
        <f>IF(ISNUMBER(BA9/AZ9),BA9/AZ9," - ")</f>
        <v>0.63848255907410389</v>
      </c>
      <c r="BE9" s="127">
        <f>IF(ISNUMBER(BB9/BA9),BB9/BA9, " - ")</f>
        <v>4.1545820745216515</v>
      </c>
      <c r="BF9" s="127">
        <f>IF(ISNUMBER(BC9/BA9),BC9/BA9, " - ")</f>
        <v>0.6714501510574018</v>
      </c>
      <c r="BG9" s="195">
        <f>IF(ISNUMBER((AY9+AZ9)/BA9),(AY9+AZ9)/BA9," - ")</f>
        <v>5.1573514602215509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63</v>
      </c>
      <c r="J10" s="180">
        <v>15</v>
      </c>
      <c r="K10" s="180">
        <v>16</v>
      </c>
      <c r="L10" s="180">
        <v>62</v>
      </c>
      <c r="M10" s="180">
        <v>16</v>
      </c>
      <c r="N10" s="180">
        <v>1</v>
      </c>
      <c r="O10" s="180">
        <v>0</v>
      </c>
      <c r="P10" s="180">
        <v>4</v>
      </c>
      <c r="Q10" s="180">
        <v>1</v>
      </c>
      <c r="R10" s="180">
        <v>83</v>
      </c>
      <c r="S10" s="180">
        <v>83</v>
      </c>
      <c r="T10" s="180">
        <v>40</v>
      </c>
      <c r="U10" s="180">
        <v>31</v>
      </c>
      <c r="V10" s="180">
        <v>92</v>
      </c>
      <c r="W10" s="180">
        <v>17</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83</v>
      </c>
      <c r="AZ10" s="129">
        <f t="shared" si="0"/>
        <v>40</v>
      </c>
      <c r="BA10" s="129">
        <f t="shared" si="0"/>
        <v>31</v>
      </c>
      <c r="BB10" s="129">
        <f t="shared" si="0"/>
        <v>92</v>
      </c>
      <c r="BC10" s="125">
        <f t="shared" si="0"/>
        <v>17</v>
      </c>
      <c r="BD10" s="126">
        <f>IF(ISNUMBER(BA10/AZ10),BA10/AZ10," - ")</f>
        <v>0.77500000000000002</v>
      </c>
      <c r="BE10" s="127">
        <f>IF(ISNUMBER(BB10/BA10),BB10/BA10, " - ")</f>
        <v>2.967741935483871</v>
      </c>
      <c r="BF10" s="127">
        <f>IF(ISNUMBER(BC10/BA10),BC10/BA10, " - ")</f>
        <v>0.54838709677419351</v>
      </c>
      <c r="BG10" s="195">
        <f>IF(ISNUMBER((AY10+AZ10)/BA10),(AY10+AZ10)/BA10," - ")</f>
        <v>3.967741935483871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14480</v>
      </c>
      <c r="J13" s="183">
        <f t="shared" si="6"/>
        <v>2696</v>
      </c>
      <c r="K13" s="183">
        <f t="shared" si="6"/>
        <v>1936</v>
      </c>
      <c r="L13" s="183">
        <f t="shared" si="6"/>
        <v>15252</v>
      </c>
      <c r="M13" s="183">
        <f t="shared" si="6"/>
        <v>415</v>
      </c>
      <c r="N13" s="183">
        <f t="shared" si="6"/>
        <v>1148</v>
      </c>
      <c r="O13" s="183">
        <f t="shared" si="6"/>
        <v>648</v>
      </c>
      <c r="P13" s="183">
        <f t="shared" si="6"/>
        <v>405</v>
      </c>
      <c r="Q13" s="183">
        <f t="shared" si="6"/>
        <v>815</v>
      </c>
      <c r="R13" s="183">
        <f t="shared" si="6"/>
        <v>13165</v>
      </c>
      <c r="S13" s="183">
        <f t="shared" si="6"/>
        <v>14043</v>
      </c>
      <c r="T13" s="183">
        <f t="shared" si="6"/>
        <v>6176</v>
      </c>
      <c r="U13" s="183">
        <f t="shared" si="6"/>
        <v>3919</v>
      </c>
      <c r="V13" s="183">
        <f t="shared" si="6"/>
        <v>16299</v>
      </c>
      <c r="W13" s="183">
        <f t="shared" si="6"/>
        <v>704</v>
      </c>
      <c r="X13" s="183">
        <f t="shared" si="6"/>
        <v>2671</v>
      </c>
      <c r="Y13" s="183">
        <f t="shared" si="6"/>
        <v>400</v>
      </c>
      <c r="Z13" s="183">
        <f t="shared" si="6"/>
        <v>132</v>
      </c>
      <c r="AA13" s="183">
        <f t="shared" si="6"/>
        <v>104</v>
      </c>
      <c r="AB13" s="183">
        <f t="shared" si="6"/>
        <v>428</v>
      </c>
      <c r="AC13" s="183">
        <f t="shared" si="6"/>
        <v>0</v>
      </c>
      <c r="AD13" s="183">
        <f t="shared" si="6"/>
        <v>0</v>
      </c>
      <c r="AE13" s="183">
        <f t="shared" si="6"/>
        <v>0</v>
      </c>
      <c r="AF13" s="183">
        <f>SUBTOTAL(9,AF9:AF12)</f>
        <v>0</v>
      </c>
      <c r="AG13" s="183">
        <f t="shared" ref="AG13:AT13" si="7">SUBTOTAL(9,AG8:AG12)</f>
        <v>304</v>
      </c>
      <c r="AH13" s="183">
        <f t="shared" si="7"/>
        <v>85</v>
      </c>
      <c r="AI13" s="183">
        <f t="shared" si="7"/>
        <v>84</v>
      </c>
      <c r="AJ13" s="183">
        <f t="shared" si="7"/>
        <v>295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14347</v>
      </c>
      <c r="AZ13" s="183">
        <f>SUBTOTAL(9,AZ8:AZ12)</f>
        <v>6261</v>
      </c>
      <c r="BA13" s="183">
        <f>SUBTOTAL(9,BA8:BA12)</f>
        <v>4003</v>
      </c>
      <c r="BB13" s="183">
        <f>SUBTOTAL(9,BB8:BB12)</f>
        <v>16594</v>
      </c>
      <c r="BC13" s="183">
        <f>SUBTOTAL(9,BC8:BC12)</f>
        <v>2684</v>
      </c>
      <c r="BD13" s="204">
        <f>IF(ISNUMBER(BA13/AZ13),BA13/AZ13," - ")</f>
        <v>0.63935473566522916</v>
      </c>
      <c r="BE13" s="205">
        <f>IF(ISNUMBER(BB13/BA13),BB13/BA13, " - ")</f>
        <v>4.1453909567824132</v>
      </c>
      <c r="BF13" s="205">
        <f>IF(ISNUMBER(BC13/BA13),BC13/BA13, " - ")</f>
        <v>0.67049712715463405</v>
      </c>
      <c r="BG13" s="206">
        <f>IF(ISNUMBER((AY13+AZ13)/BA13),(AY13+AZ13)/BA13," - ")</f>
        <v>5.1481388958281293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3564</v>
      </c>
      <c r="J15" s="182">
        <v>2507</v>
      </c>
      <c r="K15" s="182">
        <v>2749</v>
      </c>
      <c r="L15" s="182">
        <v>3329</v>
      </c>
      <c r="M15" s="182">
        <v>363</v>
      </c>
      <c r="N15" s="182">
        <v>1939</v>
      </c>
      <c r="O15" s="180">
        <v>29</v>
      </c>
      <c r="P15" s="182">
        <v>64</v>
      </c>
      <c r="Q15" s="182">
        <v>36</v>
      </c>
      <c r="R15" s="182">
        <v>739</v>
      </c>
      <c r="S15" s="182">
        <v>2554</v>
      </c>
      <c r="T15" s="182">
        <v>2913</v>
      </c>
      <c r="U15" s="182">
        <v>3013</v>
      </c>
      <c r="V15" s="182">
        <v>2482</v>
      </c>
      <c r="W15" s="182">
        <v>359</v>
      </c>
      <c r="X15" s="188">
        <v>2132</v>
      </c>
      <c r="Y15" s="201">
        <v>0</v>
      </c>
      <c r="Z15" s="182">
        <v>0</v>
      </c>
      <c r="AA15" s="182">
        <v>0</v>
      </c>
      <c r="AB15" s="182">
        <v>0</v>
      </c>
      <c r="AC15" s="182">
        <v>0</v>
      </c>
      <c r="AD15" s="182">
        <v>5</v>
      </c>
      <c r="AE15" s="182">
        <v>5</v>
      </c>
      <c r="AF15" s="188">
        <v>0</v>
      </c>
      <c r="AG15" s="201">
        <v>0</v>
      </c>
      <c r="AH15" s="182">
        <v>0</v>
      </c>
      <c r="AI15" s="182">
        <v>0</v>
      </c>
      <c r="AJ15" s="202">
        <v>0</v>
      </c>
      <c r="AK15" s="181">
        <v>1</v>
      </c>
      <c r="AL15" s="182">
        <v>3</v>
      </c>
      <c r="AM15" s="182">
        <v>2</v>
      </c>
      <c r="AN15" s="188">
        <v>2</v>
      </c>
      <c r="AO15" s="258">
        <v>4</v>
      </c>
      <c r="AP15" s="154">
        <v>4</v>
      </c>
      <c r="AQ15" s="154">
        <v>4</v>
      </c>
      <c r="AR15" s="154">
        <v>4</v>
      </c>
      <c r="AS15" s="339" t="s">
        <v>520</v>
      </c>
      <c r="AT15" s="202" t="s">
        <v>327</v>
      </c>
      <c r="AU15" s="201"/>
      <c r="AV15" s="202"/>
      <c r="AW15" s="201"/>
      <c r="AX15" s="202"/>
      <c r="AY15" s="128">
        <f t="shared" ref="AY15:BB17" si="9">IF(ISNUMBER(IF(D_I="SI",S15,S15+AK15)),IF(D_I="SI",S15,S15+AK15)," - ")</f>
        <v>2554</v>
      </c>
      <c r="AZ15" s="129">
        <f t="shared" si="9"/>
        <v>2913</v>
      </c>
      <c r="BA15" s="129">
        <f t="shared" si="9"/>
        <v>3013</v>
      </c>
      <c r="BB15" s="129">
        <f t="shared" si="9"/>
        <v>2482</v>
      </c>
      <c r="BC15" s="125">
        <f>IF(ISNUMBER(W15),W15," - ")</f>
        <v>359</v>
      </c>
      <c r="BD15" s="126">
        <f>IF(ISNUMBER(BA15/AZ15),BA15/AZ15," - ")</f>
        <v>1.0343288705801579</v>
      </c>
      <c r="BE15" s="127">
        <f>IF(ISNUMBER(BB15/BA15),BB15/BA15, " - ")</f>
        <v>0.82376369067374711</v>
      </c>
      <c r="BF15" s="127">
        <f>IF(ISNUMBER(BC15/BA15),BC15/BA15, " - ")</f>
        <v>0.1191503484898772</v>
      </c>
      <c r="BG15" s="195">
        <f t="shared" ref="BG15:BG17" si="10">IF(ISNUMBER((AY15+AZ15)/BA15),(AY15+AZ15)/BA15," - ")</f>
        <v>1.814470627281779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v>
      </c>
      <c r="J17" s="182">
        <v>0</v>
      </c>
      <c r="K17" s="182">
        <v>0</v>
      </c>
      <c r="L17" s="182">
        <v>2</v>
      </c>
      <c r="M17" s="182">
        <v>0</v>
      </c>
      <c r="N17" s="182">
        <v>0</v>
      </c>
      <c r="O17" s="180">
        <v>0</v>
      </c>
      <c r="P17" s="182">
        <v>0</v>
      </c>
      <c r="Q17" s="182">
        <v>0</v>
      </c>
      <c r="R17" s="182">
        <v>0</v>
      </c>
      <c r="S17" s="182">
        <v>8</v>
      </c>
      <c r="T17" s="182">
        <v>0</v>
      </c>
      <c r="U17" s="182">
        <v>4</v>
      </c>
      <c r="V17" s="182">
        <v>3</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8</v>
      </c>
      <c r="AZ17" s="127">
        <f t="shared" si="9"/>
        <v>0</v>
      </c>
      <c r="BA17" s="127">
        <f t="shared" si="9"/>
        <v>4</v>
      </c>
      <c r="BB17" s="127">
        <f t="shared" si="9"/>
        <v>3</v>
      </c>
      <c r="BC17" s="125">
        <f>IF(ISNUMBER(W17),W17," - ")</f>
        <v>0</v>
      </c>
      <c r="BD17" s="126" t="str">
        <f t="shared" ref="BD17" si="16">IF(ISNUMBER(BA17/AZ17),BA17/AZ17," - ")</f>
        <v xml:space="preserve"> - </v>
      </c>
      <c r="BE17" s="127">
        <f t="shared" ref="BE17" si="17">IF(ISNUMBER(BB17/BA17),BB17/BA17, " - ")</f>
        <v>0.75</v>
      </c>
      <c r="BF17" s="127">
        <f t="shared" ref="BF17" si="18">IF(ISNUMBER(BC17/BA17),BC17/BA17, " - ")</f>
        <v>0</v>
      </c>
      <c r="BG17" s="195">
        <f t="shared" si="10"/>
        <v>2</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273</v>
      </c>
      <c r="J18" s="182">
        <v>228</v>
      </c>
      <c r="K18" s="182">
        <v>226</v>
      </c>
      <c r="L18" s="182">
        <v>274</v>
      </c>
      <c r="M18" s="182">
        <v>37</v>
      </c>
      <c r="N18" s="182">
        <v>122</v>
      </c>
      <c r="O18" s="182">
        <v>5</v>
      </c>
      <c r="P18" s="182">
        <v>5</v>
      </c>
      <c r="Q18" s="182">
        <v>5</v>
      </c>
      <c r="R18" s="182">
        <v>29</v>
      </c>
      <c r="S18" s="182">
        <v>192</v>
      </c>
      <c r="T18" s="182">
        <v>276</v>
      </c>
      <c r="U18" s="182">
        <v>230</v>
      </c>
      <c r="V18" s="182">
        <v>239</v>
      </c>
      <c r="W18" s="182">
        <v>52</v>
      </c>
      <c r="X18" s="188">
        <v>133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192</v>
      </c>
      <c r="AZ18" s="129">
        <f t="shared" si="19"/>
        <v>276</v>
      </c>
      <c r="BA18" s="129">
        <f t="shared" si="19"/>
        <v>230</v>
      </c>
      <c r="BB18" s="129">
        <f t="shared" si="19"/>
        <v>239</v>
      </c>
      <c r="BC18" s="125">
        <f>IF(ISNUMBER(W18),W18," - ")</f>
        <v>52</v>
      </c>
      <c r="BD18" s="126">
        <f>IF(ISNUMBER(BA18/AZ18),BA18/AZ18," - ")</f>
        <v>0.83333333333333337</v>
      </c>
      <c r="BE18" s="127">
        <f>IF(ISNUMBER(BB18/BA18),BB18/BA18, " - ")</f>
        <v>1.0391304347826087</v>
      </c>
      <c r="BF18" s="127">
        <f>IF(ISNUMBER(BC18/BA18),BC18/BA18, " - ")</f>
        <v>0.22608695652173913</v>
      </c>
      <c r="BG18" s="195">
        <f>IF(ISNUMBER((AY18+AZ18)/BA18),(AY18+AZ18)/BA18," - ")</f>
        <v>2.034782608695652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3839</v>
      </c>
      <c r="J19" s="183">
        <f t="shared" si="20"/>
        <v>2735</v>
      </c>
      <c r="K19" s="183">
        <f t="shared" si="20"/>
        <v>2975</v>
      </c>
      <c r="L19" s="183">
        <f t="shared" si="20"/>
        <v>3605</v>
      </c>
      <c r="M19" s="183">
        <f t="shared" si="20"/>
        <v>400</v>
      </c>
      <c r="N19" s="183">
        <f t="shared" si="20"/>
        <v>2061</v>
      </c>
      <c r="O19" s="183">
        <f t="shared" si="20"/>
        <v>34</v>
      </c>
      <c r="P19" s="183">
        <f t="shared" si="20"/>
        <v>69</v>
      </c>
      <c r="Q19" s="183">
        <f t="shared" si="20"/>
        <v>41</v>
      </c>
      <c r="R19" s="183">
        <f t="shared" si="20"/>
        <v>768</v>
      </c>
      <c r="S19" s="183">
        <f t="shared" si="20"/>
        <v>2754</v>
      </c>
      <c r="T19" s="183">
        <f t="shared" si="20"/>
        <v>3189</v>
      </c>
      <c r="U19" s="183">
        <f t="shared" si="20"/>
        <v>3247</v>
      </c>
      <c r="V19" s="183">
        <f t="shared" si="20"/>
        <v>2724</v>
      </c>
      <c r="W19" s="183">
        <f t="shared" si="20"/>
        <v>411</v>
      </c>
      <c r="X19" s="183">
        <f t="shared" si="20"/>
        <v>2269</v>
      </c>
      <c r="Y19" s="183">
        <f t="shared" si="20"/>
        <v>0</v>
      </c>
      <c r="Z19" s="183">
        <f t="shared" si="20"/>
        <v>0</v>
      </c>
      <c r="AA19" s="183">
        <f t="shared" si="20"/>
        <v>0</v>
      </c>
      <c r="AB19" s="183">
        <f t="shared" si="20"/>
        <v>0</v>
      </c>
      <c r="AC19" s="183">
        <f t="shared" si="20"/>
        <v>0</v>
      </c>
      <c r="AD19" s="183">
        <f t="shared" si="20"/>
        <v>5</v>
      </c>
      <c r="AE19" s="183">
        <f t="shared" si="20"/>
        <v>5</v>
      </c>
      <c r="AF19" s="183">
        <f t="shared" si="20"/>
        <v>0</v>
      </c>
      <c r="AG19" s="183">
        <f t="shared" si="20"/>
        <v>0</v>
      </c>
      <c r="AH19" s="183">
        <f t="shared" si="20"/>
        <v>0</v>
      </c>
      <c r="AI19" s="183">
        <f t="shared" si="20"/>
        <v>0</v>
      </c>
      <c r="AJ19" s="183">
        <f t="shared" si="20"/>
        <v>0</v>
      </c>
      <c r="AK19" s="183">
        <f t="shared" si="20"/>
        <v>1</v>
      </c>
      <c r="AL19" s="183">
        <f t="shared" si="20"/>
        <v>3</v>
      </c>
      <c r="AM19" s="183">
        <f t="shared" si="20"/>
        <v>2</v>
      </c>
      <c r="AN19" s="183">
        <f t="shared" si="20"/>
        <v>2</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2754</v>
      </c>
      <c r="AZ19" s="183">
        <f>SUBTOTAL(9,AZ14:AZ18)</f>
        <v>3189</v>
      </c>
      <c r="BA19" s="183">
        <f>SUBTOTAL(9,BA14:BA18)</f>
        <v>3247</v>
      </c>
      <c r="BB19" s="183">
        <f>SUBTOTAL(9,BB14:BB18)</f>
        <v>2724</v>
      </c>
      <c r="BC19" s="183">
        <f>SUBTOTAL(9,BC14:BC18)</f>
        <v>411</v>
      </c>
      <c r="BD19" s="204">
        <f>IF(ISNUMBER(BA19/AZ19),BA19/AZ19," - ")</f>
        <v>1.0181875195986203</v>
      </c>
      <c r="BE19" s="205">
        <f>IF(ISNUMBER(BB19/BA19),BB19/BA19, " - ")</f>
        <v>0.83892824145364953</v>
      </c>
      <c r="BF19" s="205">
        <f>IF(ISNUMBER(BC19/BA19),BC19/BA19, " - ")</f>
        <v>0.12657838004311672</v>
      </c>
      <c r="BG19" s="206">
        <f>IF(ISNUMBER((AY19+AZ19)/BA19),(AY19+AZ19)/BA19," - ")</f>
        <v>1.830304896827841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18319</v>
      </c>
      <c r="J20" s="134">
        <f t="shared" si="23"/>
        <v>5431</v>
      </c>
      <c r="K20" s="134">
        <f t="shared" si="23"/>
        <v>4911</v>
      </c>
      <c r="L20" s="134">
        <f t="shared" si="23"/>
        <v>18857</v>
      </c>
      <c r="M20" s="134">
        <f t="shared" si="23"/>
        <v>815</v>
      </c>
      <c r="N20" s="134">
        <f t="shared" si="23"/>
        <v>3209</v>
      </c>
      <c r="O20" s="134">
        <f t="shared" si="23"/>
        <v>682</v>
      </c>
      <c r="P20" s="134">
        <f t="shared" si="23"/>
        <v>474</v>
      </c>
      <c r="Q20" s="134">
        <f t="shared" si="23"/>
        <v>856</v>
      </c>
      <c r="R20" s="134">
        <f t="shared" si="23"/>
        <v>13933</v>
      </c>
      <c r="S20" s="134">
        <f t="shared" si="23"/>
        <v>16797</v>
      </c>
      <c r="T20" s="134">
        <f t="shared" si="23"/>
        <v>9365</v>
      </c>
      <c r="U20" s="134">
        <f t="shared" si="23"/>
        <v>7166</v>
      </c>
      <c r="V20" s="134">
        <f t="shared" si="23"/>
        <v>19023</v>
      </c>
      <c r="W20" s="134">
        <f t="shared" si="23"/>
        <v>1115</v>
      </c>
      <c r="X20" s="134">
        <f t="shared" si="23"/>
        <v>4940</v>
      </c>
      <c r="Y20" s="134">
        <f t="shared" si="23"/>
        <v>400</v>
      </c>
      <c r="Z20" s="134">
        <f t="shared" si="23"/>
        <v>132</v>
      </c>
      <c r="AA20" s="134">
        <f t="shared" si="23"/>
        <v>104</v>
      </c>
      <c r="AB20" s="134">
        <f t="shared" si="23"/>
        <v>428</v>
      </c>
      <c r="AC20" s="134">
        <f t="shared" si="23"/>
        <v>0</v>
      </c>
      <c r="AD20" s="134">
        <f t="shared" si="23"/>
        <v>5</v>
      </c>
      <c r="AE20" s="134">
        <f t="shared" si="23"/>
        <v>5</v>
      </c>
      <c r="AF20" s="134">
        <f t="shared" si="23"/>
        <v>0</v>
      </c>
      <c r="AG20" s="134">
        <f t="shared" si="23"/>
        <v>304</v>
      </c>
      <c r="AH20" s="134">
        <f t="shared" si="23"/>
        <v>85</v>
      </c>
      <c r="AI20" s="134">
        <f t="shared" si="23"/>
        <v>84</v>
      </c>
      <c r="AJ20" s="134">
        <f t="shared" si="23"/>
        <v>295</v>
      </c>
      <c r="AK20" s="134">
        <f t="shared" si="23"/>
        <v>1</v>
      </c>
      <c r="AL20" s="134">
        <f t="shared" si="23"/>
        <v>3</v>
      </c>
      <c r="AM20" s="134">
        <f t="shared" si="23"/>
        <v>2</v>
      </c>
      <c r="AN20" s="209">
        <f t="shared" si="23"/>
        <v>2</v>
      </c>
      <c r="AO20" s="210">
        <v>11</v>
      </c>
      <c r="AP20" s="210">
        <v>11</v>
      </c>
      <c r="AQ20" s="210">
        <v>11</v>
      </c>
      <c r="AR20" s="210">
        <v>11</v>
      </c>
      <c r="AS20" s="152">
        <f t="shared" si="23"/>
        <v>0</v>
      </c>
      <c r="AT20" s="152">
        <f t="shared" si="23"/>
        <v>0</v>
      </c>
      <c r="AU20" s="210"/>
      <c r="AV20" s="211"/>
      <c r="AW20" s="210"/>
      <c r="AX20" s="211"/>
      <c r="AY20" s="133">
        <f>SUBTOTAL(9,AY9:AY19)</f>
        <v>17101</v>
      </c>
      <c r="AZ20" s="134">
        <f>SUBTOTAL(9,AZ9:AZ19)</f>
        <v>9450</v>
      </c>
      <c r="BA20" s="134">
        <f>SUBTOTAL(9,BA9:BA19)</f>
        <v>7250</v>
      </c>
      <c r="BB20" s="134">
        <f>SUBTOTAL(9,BB9:BB19)</f>
        <v>19318</v>
      </c>
      <c r="BC20" s="135">
        <f>SUBTOTAL(9,BC9:BC19)</f>
        <v>3095</v>
      </c>
      <c r="BD20" s="212">
        <f>IF(ISNUMBER(BA20/AZ20),BA20/AZ20," - ")</f>
        <v>0.76719576719576721</v>
      </c>
      <c r="BE20" s="209">
        <f>IF(ISNUMBER(BB20/BA20),BB20/BA20, " - ")</f>
        <v>2.6645517241379308</v>
      </c>
      <c r="BF20" s="209">
        <f>IF(ISNUMBER(BC20/BA20),BC20/BA20, " - ")</f>
        <v>0.42689655172413793</v>
      </c>
      <c r="BG20" s="135">
        <f>IF(ISNUMBER((AY20+AZ20)/BA20),(AY20+AZ20)/BA20," - ")</f>
        <v>3.6622068965517243</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danYrDyYkq2DjzJH9Tc9FiYeHU53mz31x6AgDL3yDM/IhCv1lGhPnIyv4oYX1S9yKXbpf15doA6AnLMsYGNWQ==" saltValue="5N4DRZRUI4tsmwgsby8G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aYuN76QgL0+Ycc0yq2xVbgWTlFed+yyGxvWMT4fk3I1+TIZ7QZzh2lCLlLdiSKm9YxiEWlM21vOmo6S2hyRrQ==" saltValue="40xp1O/JuZWQ5ci77n+e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SAN BARTOLOME DE TIRAJANA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132</v>
      </c>
      <c r="O9" s="1247"/>
      <c r="P9" s="1247"/>
      <c r="Q9" s="1215">
        <f>IF(ISNUMBER(Datos!P9),Datos!P9,0)</f>
        <v>401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814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428</v>
      </c>
      <c r="AI9" s="1247" t="str">
        <f>IF(ISNUMBER(Datos!CD9),Datos!CD9,"-")</f>
        <v>-</v>
      </c>
      <c r="AJ9" s="1247" t="str">
        <f>IF(ISNUMBER(Datos!EN9),Datos!EN9," - ")</f>
        <v xml:space="preserve"> - </v>
      </c>
      <c r="AK9" s="1247"/>
      <c r="AL9" s="1258"/>
      <c r="AM9" s="1248">
        <f>IF(ISNUMBER(Datos!R9),Datos!R9," - ")</f>
        <v>13082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399</v>
      </c>
      <c r="BD9" s="1218">
        <f>IF(ISNUMBER(Datos!N9),Datos!N9," - ")</f>
        <v>1147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0.71951653039459651</v>
      </c>
      <c r="BH9" s="1226">
        <f>IF(ISNUMBER(((IF(J_V="SI",Datos!L9/Datos!K9,(Datos!L9+Datos!AB9)/(Datos!K9+Datos!AA9)))*11)/factor_trimestre),((IF(J_V="SI",Datos!L9/Datos!K9,(Datos!L9+Datos!AB9)/(Datos!K9+Datos!AA9)))*11)/factor_trimestre," - ")</f>
        <v>23.149209486166008</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-3.0603927380511299E-2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63</v>
      </c>
      <c r="G10" s="1246">
        <f>IF(ISNUMBER(Datos!I10),Datos!I10," - ")</f>
        <v>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v>
      </c>
      <c r="AC10" s="1215">
        <f>IF(ISNUMBER(Datos!Q10),Datos!Q10," - ")</f>
        <v>1</v>
      </c>
      <c r="AD10" s="1247"/>
      <c r="AE10" s="1262"/>
      <c r="AF10" s="1245">
        <f>IF(ISNUMBER(Datos!L10),Datos!L10,"-")</f>
        <v>62</v>
      </c>
      <c r="AG10" s="1247"/>
      <c r="AH10" s="1247"/>
      <c r="AI10" s="1247"/>
      <c r="AJ10" s="1247"/>
      <c r="AK10" s="1247"/>
      <c r="AL10" s="1258"/>
      <c r="AM10" s="1248">
        <f>IF(ISNUMBER(Datos!R10),Datos!R10," - ")</f>
        <v>83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16</v>
      </c>
      <c r="BD10" s="1218">
        <f>IF(ISNUMBER(Datos!N10),Datos!N10," - ")</f>
        <v>1</v>
      </c>
      <c r="BE10" s="1218" t="str">
        <f>IF(ISNUMBER(Datos!BW10),Datos!BW10," - ")</f>
        <v xml:space="preserve"> - </v>
      </c>
      <c r="BF10" s="1217" t="str">
        <f>IF(ISNUMBER(Datos!BX10),Datos!BX10," - ")</f>
        <v xml:space="preserve"> - </v>
      </c>
      <c r="BG10" s="1223">
        <f>IF(ISNUMBER(Datos!K10/Datos!J10),Datos!K10/Datos!J10," - ")</f>
        <v>1.0666666666666667</v>
      </c>
      <c r="BH10" s="1226">
        <f>IF(ISNUMBER(((Datos!L10/Datos!K10)*11)/factor_trimestre),((Datos!L10/Datos!K10)*11)/factor_trimestre," - ")</f>
        <v>11.625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3.7499999999999999E-2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63</v>
      </c>
      <c r="G13" s="1391">
        <f t="shared" si="0"/>
        <v>63</v>
      </c>
      <c r="H13" s="1392">
        <f t="shared" si="0"/>
        <v>0</v>
      </c>
      <c r="I13" s="1391">
        <f t="shared" si="0"/>
        <v>0</v>
      </c>
      <c r="J13" s="1383">
        <f t="shared" si="0"/>
        <v>0</v>
      </c>
      <c r="K13" s="1383">
        <f t="shared" si="0"/>
        <v>0</v>
      </c>
      <c r="L13" s="1392">
        <f t="shared" si="0"/>
        <v>0</v>
      </c>
      <c r="M13" s="1392">
        <f t="shared" si="0"/>
        <v>0</v>
      </c>
      <c r="N13" s="1392">
        <f t="shared" si="0"/>
        <v>132</v>
      </c>
      <c r="O13" s="1393">
        <f t="shared" si="0"/>
        <v>0</v>
      </c>
      <c r="P13" s="1393">
        <f t="shared" si="0"/>
        <v>0</v>
      </c>
      <c r="Q13" s="1392">
        <f t="shared" si="0"/>
        <v>405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v>
      </c>
      <c r="AC13" s="1392">
        <f t="shared" si="1"/>
        <v>815</v>
      </c>
      <c r="AD13" s="1392">
        <f t="shared" si="1"/>
        <v>0</v>
      </c>
      <c r="AE13" s="1392">
        <f t="shared" si="1"/>
        <v>0</v>
      </c>
      <c r="AF13" s="1392">
        <f t="shared" si="1"/>
        <v>62</v>
      </c>
      <c r="AG13" s="1392">
        <f t="shared" si="1"/>
        <v>0</v>
      </c>
      <c r="AH13" s="1392">
        <f t="shared" si="1"/>
        <v>428</v>
      </c>
      <c r="AI13" s="1392">
        <f t="shared" si="1"/>
        <v>0</v>
      </c>
      <c r="AJ13" s="1392">
        <f t="shared" si="1"/>
        <v>0</v>
      </c>
      <c r="AK13" s="1392">
        <f t="shared" si="1"/>
        <v>0</v>
      </c>
      <c r="AL13" s="1392">
        <f t="shared" si="1"/>
        <v>0</v>
      </c>
      <c r="AM13" s="1392">
        <f t="shared" si="1"/>
        <v>13165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415</v>
      </c>
      <c r="BD13" s="1392">
        <f t="shared" si="1"/>
        <v>1148</v>
      </c>
      <c r="BE13" s="1392">
        <f t="shared" si="1"/>
        <v>0</v>
      </c>
      <c r="BF13" s="1392">
        <f t="shared" si="1"/>
        <v>0</v>
      </c>
      <c r="BG13" s="1392">
        <f>IF(ISNUMBER(Datos!K13/Datos!J13),Datos!K13/Datos!J13," - ")</f>
        <v>0.71810089020771517</v>
      </c>
      <c r="BH13" s="1396">
        <f>IF(ISNUMBER(((Datos!L13/Datos!K13)*11)/factor_trimestre),((Datos!L13/Datos!K13)*11)/factor_trimestre," - ")</f>
        <v>23.634297520661157</v>
      </c>
      <c r="BI13" s="1392">
        <f>IF(ISNUMBER('Resol  Asuntos'!D13/NºAsuntos!G13),'Resol  Asuntos'!D13/NºAsuntos!G13," - ")</f>
        <v>0.20343137254901961</v>
      </c>
      <c r="BJ13" s="1392" t="str">
        <f>IF(ISNUMBER(Datos!CI13/Datos!CJ13),Datos!CI13/Datos!CJ13," - ")</f>
        <v xml:space="preserve"> - </v>
      </c>
      <c r="BK13" s="1392">
        <f>SUBTOTAL(9,BK8:BK12)</f>
        <v>0</v>
      </c>
      <c r="BL13" s="1392">
        <f>IF(ISNUMBER((I13-AB13+L13)/(F13)),(I13-AB13+L13)/(F13)," - ")</f>
        <v>-0.25396825396825395</v>
      </c>
      <c r="BM13" s="1397">
        <f>SUBTOTAL(9,BM9:BM12)</f>
        <v>6.8960726194886995E-3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3571</v>
      </c>
      <c r="G15" s="1335">
        <f>IF(ISNUMBER(IF(D_I="SI",Datos!I15,Datos!I15+Datos!AC15)),IF(D_I="SI",Datos!I15,Datos!I15+Datos!AC15)," - ")</f>
        <v>3564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2749</v>
      </c>
      <c r="AC15" s="1215">
        <f>IF(ISNUMBER(Datos!Q15),Datos!Q15," - ")</f>
        <v>36</v>
      </c>
      <c r="AD15" s="1247"/>
      <c r="AE15" s="1262"/>
      <c r="AF15" s="1333">
        <f>IF(ISNUMBER(IF(D_I="SI",Datos!L15,Datos!L15+Datos!AF15)),IF(D_I="SI",Datos!L15,Datos!L15+Datos!AF15)," - ")</f>
        <v>3329</v>
      </c>
      <c r="AG15" s="1247"/>
      <c r="AH15" s="1247"/>
      <c r="AI15" s="1247"/>
      <c r="AJ15" s="1247"/>
      <c r="AK15" s="1247"/>
      <c r="AL15" s="1258"/>
      <c r="AM15" s="1248">
        <f>IF(ISNUMBER(Datos!R15),Datos!R15," - ")</f>
        <v>739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363</v>
      </c>
      <c r="BD15" s="1218">
        <f>IF(ISNUMBER(Datos!N15),Datos!N15," - ")</f>
        <v>1939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1.0965297167929797</v>
      </c>
      <c r="BH15" s="1226">
        <f>IF(ISNUMBER(((IF(D_I="SI",Datos!L15/Datos!K15,(Datos!L15+Datos!AF15)/(Datos!K15+Datos!AE15)))*11)/factor_trimestre),((IF(D_I="SI",Datos!L15/Datos!K15,(Datos!L15+Datos!AF15)/(Datos!K15+Datos!AE15)))*11)/factor_trimestre," - ")</f>
        <v>3.6329574390687522</v>
      </c>
      <c r="BI15" s="1223">
        <f>IF(ISNUMBER('Resol  Asuntos'!D15/NºAsuntos!G15),'Resol  Asuntos'!D15/NºAsuntos!G15," - ")</f>
        <v>0.13204801746089487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2</v>
      </c>
      <c r="G17" s="1335">
        <f>IF(ISNUMBER(IF(D_I="SI",Datos!I17,Datos!I17+Datos!AC17)),IF(D_I="SI",Datos!I17,Datos!I17+Datos!AC17)," - ")</f>
        <v>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2</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273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226</v>
      </c>
      <c r="AC18" s="1215">
        <f>IF(ISNUMBER(Datos!Q18),Datos!Q18," - ")</f>
        <v>5</v>
      </c>
      <c r="AD18" s="1247"/>
      <c r="AE18" s="1262"/>
      <c r="AF18" s="1245">
        <f>IF(ISNUMBER(Datos!L18),Datos!L18,"-")</f>
        <v>274</v>
      </c>
      <c r="AG18" s="1247"/>
      <c r="AH18" s="1247"/>
      <c r="AI18" s="1247"/>
      <c r="AJ18" s="1247"/>
      <c r="AK18" s="1247"/>
      <c r="AL18" s="1258"/>
      <c r="AM18" s="1248">
        <f>IF(ISNUMBER(Datos!R18),Datos!R18," - ")</f>
        <v>29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37</v>
      </c>
      <c r="BD18" s="1218">
        <f>IF(ISNUMBER(Datos!N18),Datos!N18," - ")</f>
        <v>122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0.99122807017543857</v>
      </c>
      <c r="BH18" s="1226">
        <f>IF(ISNUMBER(((IF(D_I="SI",Datos!L18/Datos!K18,(Datos!L18+Datos!AF18)/(Datos!K18+Datos!AE18)))*11)/factor_trimestre),((IF(D_I="SI",Datos!L18/Datos!K18,(Datos!L18+Datos!AF18)/(Datos!K18+Datos!AE18)))*11)/factor_trimestre," - ")</f>
        <v>3.6371681415929209</v>
      </c>
      <c r="BI18" s="1223">
        <f>IF(ISNUMBER('Resol  Asuntos'!D18/NºAsuntos!G18),'Resol  Asuntos'!D18/NºAsuntos!G18," - ")</f>
        <v>0.16371681415929204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3573</v>
      </c>
      <c r="G19" s="1391">
        <f>SUBTOTAL(9,G15:G18)</f>
        <v>3839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2975</v>
      </c>
      <c r="AC19" s="1392">
        <f t="shared" si="4"/>
        <v>41</v>
      </c>
      <c r="AD19" s="1392">
        <f t="shared" si="4"/>
        <v>0</v>
      </c>
      <c r="AE19" s="1392">
        <f t="shared" si="4"/>
        <v>0</v>
      </c>
      <c r="AF19" s="1392">
        <f t="shared" si="4"/>
        <v>3605</v>
      </c>
      <c r="AG19" s="1392">
        <f t="shared" si="4"/>
        <v>0</v>
      </c>
      <c r="AH19" s="1392">
        <f t="shared" si="4"/>
        <v>0</v>
      </c>
      <c r="AI19" s="1392">
        <f t="shared" si="4"/>
        <v>0</v>
      </c>
      <c r="AJ19" s="1392">
        <f t="shared" si="4"/>
        <v>0</v>
      </c>
      <c r="AK19" s="1392">
        <f t="shared" si="4"/>
        <v>0</v>
      </c>
      <c r="AL19" s="1392">
        <f t="shared" si="4"/>
        <v>0</v>
      </c>
      <c r="AM19" s="1392">
        <f t="shared" si="4"/>
        <v>768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400</v>
      </c>
      <c r="BD19" s="1392">
        <f t="shared" si="4"/>
        <v>2061</v>
      </c>
      <c r="BE19" s="1392">
        <f t="shared" si="4"/>
        <v>0</v>
      </c>
      <c r="BF19" s="1392">
        <f t="shared" si="4"/>
        <v>0</v>
      </c>
      <c r="BG19" s="1392">
        <f>IF(ISNUMBER(Datos!K19/Datos!J19),Datos!K19/Datos!J19," - ")</f>
        <v>1.0877513711151736</v>
      </c>
      <c r="BH19" s="1396">
        <f>IF(ISNUMBER(((Datos!L19/Datos!K19)*11)/factor_trimestre),((Datos!L19/Datos!K19)*11)/factor_trimestre," - ")</f>
        <v>3.6352941176470588</v>
      </c>
      <c r="BI19" s="1392">
        <f>SUBTOTAL(9,BI15:BI18)</f>
        <v>0.29576483162018691</v>
      </c>
      <c r="BJ19" s="1392">
        <f>SUBTOTAL(9,BJ15:BJ18)</f>
        <v>0</v>
      </c>
      <c r="BK19" s="1392">
        <f>SUBTOTAL(9,BK15:BK18)</f>
        <v>0</v>
      </c>
      <c r="BL19" s="1392">
        <f>IF(ISNUMBER((I19-AB19+L19)/(F19)),(I19-AB19+L19)/(F19)," - ")</f>
        <v>-0.83263364119787298</v>
      </c>
      <c r="BM19" s="1398">
        <f>IF(ISNUMBER((Datos!P19-Datos!Q19)/(Datos!R19-Datos!P19+Datos!Q19)),(Datos!P19-Datos!Q19)/(Datos!R19-Datos!P19+Datos!Q19)," - ")</f>
        <v>3.783783783783784E-2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3636</v>
      </c>
      <c r="G20" s="1367">
        <f t="shared" si="6"/>
        <v>3902</v>
      </c>
      <c r="H20" s="1369">
        <f t="shared" si="6"/>
        <v>0</v>
      </c>
      <c r="I20" s="1367">
        <f t="shared" si="6"/>
        <v>0</v>
      </c>
      <c r="J20" s="1369">
        <f t="shared" si="6"/>
        <v>0</v>
      </c>
      <c r="K20" s="1369">
        <f t="shared" si="6"/>
        <v>0</v>
      </c>
      <c r="L20" s="1386">
        <f t="shared" si="6"/>
        <v>0</v>
      </c>
      <c r="M20" s="1386">
        <f t="shared" si="6"/>
        <v>0</v>
      </c>
      <c r="N20" s="1386">
        <f t="shared" si="6"/>
        <v>132</v>
      </c>
      <c r="O20" s="1386">
        <f t="shared" si="6"/>
        <v>0</v>
      </c>
      <c r="P20" s="1386">
        <f t="shared" si="6"/>
        <v>0</v>
      </c>
      <c r="Q20" s="1369">
        <f t="shared" si="6"/>
        <v>474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2991</v>
      </c>
      <c r="AC20" s="1368">
        <f t="shared" si="7"/>
        <v>856</v>
      </c>
      <c r="AD20" s="1368">
        <f t="shared" si="7"/>
        <v>0</v>
      </c>
      <c r="AE20" s="1368">
        <f t="shared" si="7"/>
        <v>0</v>
      </c>
      <c r="AF20" s="1371">
        <f t="shared" si="7"/>
        <v>3667</v>
      </c>
      <c r="AG20" s="1371">
        <f t="shared" si="7"/>
        <v>0</v>
      </c>
      <c r="AH20" s="1371">
        <f t="shared" si="7"/>
        <v>428</v>
      </c>
      <c r="AI20" s="1371">
        <f t="shared" si="7"/>
        <v>0</v>
      </c>
      <c r="AJ20" s="1368">
        <f t="shared" si="7"/>
        <v>0</v>
      </c>
      <c r="AK20" s="1371">
        <f t="shared" si="7"/>
        <v>0</v>
      </c>
      <c r="AL20" s="1371">
        <f t="shared" si="7"/>
        <v>0</v>
      </c>
      <c r="AM20" s="1371">
        <f t="shared" si="7"/>
        <v>13933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815</v>
      </c>
      <c r="BD20" s="1367">
        <f t="shared" si="7"/>
        <v>3209</v>
      </c>
      <c r="BE20" s="1367">
        <f t="shared" si="7"/>
        <v>0</v>
      </c>
      <c r="BF20" s="1373">
        <f t="shared" si="7"/>
        <v>0</v>
      </c>
      <c r="BG20" s="1404">
        <f>IF(ISNUMBER(Datos!K20/Datos!J20),Datos!K20/Datos!J20," - ")</f>
        <v>0.90425336033879578</v>
      </c>
      <c r="BH20" s="1404">
        <f>IF(ISNUMBER(((Datos!L20/Datos!K20)*11)/factor_trimestre),((Datos!L20/Datos!K20)*11)/factor_trimestre," - ")</f>
        <v>11.519242516799023</v>
      </c>
      <c r="BI20" s="1362">
        <f>IF(ISNUMBER(Datos!J20/Datos!I20),Datos!J20/Datos!I20," - ")</f>
        <v>0.29646814782466291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-0.8226072607260726</v>
      </c>
      <c r="BM20" s="1387">
        <f>IF(ISNUMBER((Datos!P20-Datos!Q20+R20)/(Datos!R20-Datos!P20+Datos!Q20-R20)),(Datos!P20-Datos!Q20+R20)/(Datos!R20-Datos!P20+Datos!Q20-R20)," - ")</f>
        <v>-2.6685295144952846E-2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1300.6666666666667</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2.7968235951204043</v>
      </c>
      <c r="F22" s="1298">
        <f>IF(ISNUMBER(STDEV(F8:F19)),STDEV(F8:F19),"-")</f>
        <v>1933.256009947984</v>
      </c>
      <c r="G22" s="1299">
        <f>IF(ISNUMBER(STDEV(G8:G19)),STDEV(G8:G19),"-")</f>
        <v>1863.9788267753117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1448.8036443907781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202.18096561531914</v>
      </c>
      <c r="BD22" s="1298"/>
      <c r="BE22" s="1298">
        <f>IF(ISNUMBER(STDEV(BE8:BE19)),STDEV(BE8:BE19),"-")</f>
        <v>0</v>
      </c>
      <c r="BF22" s="1303">
        <f>IF(ISNUMBER(STDEV(BF8:BF19)),STDEV(BF8:BF19),"-")</f>
        <v>0</v>
      </c>
      <c r="BG22" s="1360">
        <f>IF(ISNUMBER(STDEV(BG8:BG19)),STDEV(BG8:BG19),"-")</f>
        <v>0.1803269462710867</v>
      </c>
      <c r="BH22" s="1361">
        <f>IF(ISNUMBER(STDEV(BH8:BH19)),STDEV(BH8:BH19),"-")</f>
        <v>9.6800055793524482</v>
      </c>
      <c r="BI22" s="1224">
        <f>IF(ISNUMBER(STDEV(BI8:BI19)),STDEV(BI8:BI19),"-")</f>
        <v>7.0970113448033209E-2</v>
      </c>
      <c r="BJ22" s="1219" t="str">
        <f>IF(ISNUMBER(BL22/BM22),BL22/BM22," - ")</f>
        <v xml:space="preserve"> - </v>
      </c>
      <c r="BK22" s="1320"/>
      <c r="BL22" s="1306">
        <f>IF(ISNUMBER(STDEV(BL8:BL19)),STDEV(BL8:BL19),"-")</f>
        <v>0.40917821934800297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iQjYZUX7hJGcwgF1ydOV3QoyAPEKsW21Z7eK7jmR6Suk+iDWlYNpNBKODlegfwLnuXMzE+egDShdn+AajwjjQ==" saltValue="HdGMuiD9Zq6gwtNvyByXp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 BARTOLOME DE TIRAJANA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401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814</v>
      </c>
      <c r="AA9" s="331" t="str">
        <f>IF(ISNUMBER(IF(J_V="SI",Datos!L9,Datos!L9+Datos!AB9)-IF(Monitorios="SI",Datos!CD9,0)),
                          IF(J_V="SI",Datos!L9,Datos!L9+Datos!AB9)-IF(Monitorios="SI",Datos!CD9,0),
                          " - ")</f>
        <v xml:space="preserve"> - </v>
      </c>
      <c r="AB9" s="333"/>
      <c r="AC9" s="333"/>
      <c r="AD9" s="483"/>
      <c r="AE9" s="483">
        <f>IF(ISNUMBER(Datos!R9),Datos!R9," - ")</f>
        <v>13082</v>
      </c>
      <c r="AF9" s="228" t="str">
        <f>IF(ISNUMBER(Datos!BV9),Datos!BV9," - ")</f>
        <v xml:space="preserve"> - </v>
      </c>
      <c r="AG9" s="224" t="str">
        <f>IF(ISNUMBER(Datos!DV9),Datos!DV9," - ")</f>
        <v xml:space="preserve"> - </v>
      </c>
      <c r="AH9" s="297"/>
      <c r="AI9" s="226"/>
      <c r="AJ9" s="224">
        <f>IF(ISNUMBER(Datos!M9),Datos!M9," - ")</f>
        <v>399</v>
      </c>
      <c r="AK9" s="228">
        <f>IF(ISNUMBER(Datos!N9),Datos!N9," - ")</f>
        <v>1147</v>
      </c>
      <c r="AL9" s="228" t="str">
        <f>IF(ISNUMBER(Datos!BW9),Datos!BW9," - ")</f>
        <v xml:space="preserve"> - </v>
      </c>
      <c r="AM9" s="227" t="str">
        <f>IF(ISNUMBER(Datos!BX9),Datos!BX9," - ")</f>
        <v xml:space="preserve"> - </v>
      </c>
      <c r="AN9" s="242"/>
      <c r="AO9" s="259">
        <f>IF(ISNUMBER(((NºAsuntos!I9/NºAsuntos!G9)*11)/factor_trimestre),((NºAsuntos!I9/NºAsuntos!G9)*11)/factor_trimestre," - ")</f>
        <v>23.149209486166008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-3.0603927380511299E-2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v>
      </c>
      <c r="Z10" s="617">
        <f>IF(ISNUMBER(Datos!Q10),Datos!Q10," - ")</f>
        <v>1</v>
      </c>
      <c r="AA10" s="331">
        <f>IF(ISNUMBER(Datos!L10),Datos!L10,"-")</f>
        <v>62</v>
      </c>
      <c r="AB10" s="333"/>
      <c r="AC10" s="333"/>
      <c r="AD10" s="483"/>
      <c r="AE10" s="483">
        <f>IF(ISNUMBER(Datos!R10),Datos!R10," - ")</f>
        <v>83</v>
      </c>
      <c r="AF10" s="228" t="str">
        <f>IF(ISNUMBER(Datos!BV10),Datos!BV10," - ")</f>
        <v xml:space="preserve"> - </v>
      </c>
      <c r="AG10" s="224" t="str">
        <f>IF(ISNUMBER(Datos!DV10),Datos!DV10," - ")</f>
        <v xml:space="preserve"> - </v>
      </c>
      <c r="AH10" s="297"/>
      <c r="AI10" s="226"/>
      <c r="AJ10" s="224">
        <f>IF(ISNUMBER(Datos!M10),Datos!M10," - ")</f>
        <v>16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3.7499999999999999E-2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63</v>
      </c>
      <c r="G13" s="895">
        <f>SUBTOTAL(9,G8:G12)</f>
        <v>63</v>
      </c>
      <c r="H13" s="905"/>
      <c r="I13" s="895">
        <f t="shared" ref="I13:N13" si="0">SUBTOTAL(9,I8:I12)</f>
        <v>0</v>
      </c>
      <c r="J13" s="864">
        <f t="shared" si="0"/>
        <v>0</v>
      </c>
      <c r="K13" s="905">
        <f t="shared" si="0"/>
        <v>0</v>
      </c>
      <c r="L13" s="905">
        <f t="shared" si="0"/>
        <v>0</v>
      </c>
      <c r="M13" s="905">
        <f t="shared" si="0"/>
        <v>0</v>
      </c>
      <c r="N13" s="905">
        <f t="shared" si="0"/>
        <v>405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v>
      </c>
      <c r="Z13" s="904">
        <f t="shared" si="2"/>
        <v>815</v>
      </c>
      <c r="AA13" s="897">
        <f t="shared" si="2"/>
        <v>62</v>
      </c>
      <c r="AB13" s="897">
        <f t="shared" si="2"/>
        <v>0</v>
      </c>
      <c r="AC13" s="897">
        <f t="shared" si="2"/>
        <v>0</v>
      </c>
      <c r="AD13" s="897">
        <f t="shared" si="2"/>
        <v>0</v>
      </c>
      <c r="AE13" s="897">
        <f t="shared" si="2"/>
        <v>13165</v>
      </c>
      <c r="AF13" s="905">
        <f t="shared" si="2"/>
        <v>0</v>
      </c>
      <c r="AG13" s="905">
        <f t="shared" si="2"/>
        <v>0</v>
      </c>
      <c r="AH13" s="905">
        <f t="shared" si="2"/>
        <v>0</v>
      </c>
      <c r="AI13" s="905">
        <f t="shared" si="2"/>
        <v>0</v>
      </c>
      <c r="AJ13" s="905">
        <f t="shared" si="2"/>
        <v>415</v>
      </c>
      <c r="AK13" s="905">
        <f t="shared" si="2"/>
        <v>1148</v>
      </c>
      <c r="AL13" s="905">
        <f t="shared" si="2"/>
        <v>0</v>
      </c>
      <c r="AM13" s="905">
        <f t="shared" si="2"/>
        <v>0</v>
      </c>
      <c r="AN13" s="905">
        <f t="shared" si="2"/>
        <v>0</v>
      </c>
      <c r="AO13" s="901">
        <f>IF(ISNUMBER(((NºAsuntos!I13/NºAsuntos!G13)*11)/factor_trimestre),((NºAsuntos!I13/NºAsuntos!G13)*11)/factor_trimestre," - ")</f>
        <v>23.058823529411764</v>
      </c>
      <c r="AP13" s="907" t="str">
        <f>IF(ISNUMBER(Datos!CI13/Datos!CJ13),Datos!CI13/Datos!CJ13," - ")</f>
        <v xml:space="preserve"> - </v>
      </c>
      <c r="AQ13" s="923">
        <f t="shared" ref="AQ13:AV13" si="3">SUBTOTAL(9,AQ9:AQ12)</f>
        <v>0</v>
      </c>
      <c r="AR13" s="923">
        <f t="shared" si="3"/>
        <v>6.8960726194886995E-3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3571</v>
      </c>
      <c r="G15" s="224">
        <f>IF(ISNUMBER(IF(D_I="SI",Datos!I15,Datos!I15+Datos!AC15)),IF(D_I="SI",Datos!I15,Datos!I15+Datos!AC15)," - ")</f>
        <v>3564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2749</v>
      </c>
      <c r="Z15" s="617">
        <f>IF(ISNUMBER(Datos!Q15),Datos!Q15," - ")</f>
        <v>36</v>
      </c>
      <c r="AA15" s="331">
        <f>IF(ISNUMBER(IF(D_I="SI",Datos!L15,Datos!L15+Datos!AF15)),IF(D_I="SI",Datos!L15,Datos!L15+Datos!AF15)," - ")</f>
        <v>3329</v>
      </c>
      <c r="AB15" s="333"/>
      <c r="AC15" s="333"/>
      <c r="AD15" s="483"/>
      <c r="AE15" s="483">
        <f>IF(ISNUMBER(Datos!R15),Datos!R15," - ")</f>
        <v>739</v>
      </c>
      <c r="AF15" s="228" t="str">
        <f>IF(ISNUMBER(Datos!BV15),Datos!BV15," - ")</f>
        <v xml:space="preserve"> - </v>
      </c>
      <c r="AG15" s="224"/>
      <c r="AH15" s="297"/>
      <c r="AI15" s="226"/>
      <c r="AJ15" s="224">
        <f>IF(ISNUMBER(Datos!M15),Datos!M15," - ")</f>
        <v>363</v>
      </c>
      <c r="AK15" s="228">
        <f>IF(ISNUMBER(Datos!N15),Datos!N15," - ")</f>
        <v>1939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3.6329574390687522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2</v>
      </c>
      <c r="G17" s="224">
        <f>IF(ISNUMBER(IF(D_I="SI",Datos!I17,Datos!I17+Datos!AC17)),IF(D_I="SI",Datos!I17,Datos!I17+Datos!AC17)," - ")</f>
        <v>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2</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273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226</v>
      </c>
      <c r="Z18" s="617">
        <f>IF(ISNUMBER(Datos!Q18),Datos!Q18," - ")</f>
        <v>5</v>
      </c>
      <c r="AA18" s="331">
        <f>IF(ISNUMBER(Datos!L18),Datos!L18,"-")</f>
        <v>274</v>
      </c>
      <c r="AB18" s="333"/>
      <c r="AC18" s="333"/>
      <c r="AD18" s="483"/>
      <c r="AE18" s="483">
        <f>IF(ISNUMBER(Datos!R18),Datos!R18," - ")</f>
        <v>29</v>
      </c>
      <c r="AF18" s="228" t="str">
        <f>IF(ISNUMBER(Datos!BV18),Datos!BV18," - ")</f>
        <v xml:space="preserve"> - </v>
      </c>
      <c r="AG18" s="224" t="str">
        <f>IF(ISNUMBER(Datos!DV18),Datos!DV18," - ")</f>
        <v xml:space="preserve"> - </v>
      </c>
      <c r="AH18" s="297"/>
      <c r="AI18" s="226"/>
      <c r="AJ18" s="224">
        <f>IF(ISNUMBER(Datos!M18),Datos!M18," - ")</f>
        <v>37</v>
      </c>
      <c r="AK18" s="228">
        <f>IF(ISNUMBER(Datos!N18),Datos!N18," - ")</f>
        <v>122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3.6371681415929209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3573</v>
      </c>
      <c r="G19" s="895">
        <f>SUBTOTAL(9,G15:G18)</f>
        <v>3839</v>
      </c>
      <c r="H19" s="927">
        <f>SUBTOTAL(9,H15:H18)</f>
        <v>0</v>
      </c>
      <c r="I19" s="908">
        <f>SUBTOTAL(9,I15:I18)</f>
        <v>0</v>
      </c>
      <c r="J19" s="864">
        <f>SUBTOTAL(9,J14:J18)</f>
        <v>0</v>
      </c>
      <c r="K19" s="927">
        <f t="shared" ref="K19:S19" si="4">SUBTOTAL(9,K15:K18)</f>
        <v>0</v>
      </c>
      <c r="L19" s="927">
        <f t="shared" si="4"/>
        <v>0</v>
      </c>
      <c r="M19" s="927">
        <f t="shared" si="4"/>
        <v>0</v>
      </c>
      <c r="N19" s="927">
        <f t="shared" si="4"/>
        <v>69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2975</v>
      </c>
      <c r="Z19" s="927">
        <f t="shared" si="5"/>
        <v>41</v>
      </c>
      <c r="AA19" s="927">
        <f t="shared" si="5"/>
        <v>3605</v>
      </c>
      <c r="AB19" s="927">
        <f t="shared" si="5"/>
        <v>0</v>
      </c>
      <c r="AC19" s="927">
        <f t="shared" si="5"/>
        <v>0</v>
      </c>
      <c r="AD19" s="927">
        <f t="shared" si="5"/>
        <v>0</v>
      </c>
      <c r="AE19" s="927">
        <f t="shared" si="5"/>
        <v>768</v>
      </c>
      <c r="AF19" s="927">
        <f t="shared" si="5"/>
        <v>0</v>
      </c>
      <c r="AG19" s="927">
        <f t="shared" si="5"/>
        <v>0</v>
      </c>
      <c r="AH19" s="927">
        <f t="shared" si="5"/>
        <v>0</v>
      </c>
      <c r="AI19" s="927">
        <f t="shared" si="5"/>
        <v>0</v>
      </c>
      <c r="AJ19" s="927">
        <f t="shared" si="5"/>
        <v>400</v>
      </c>
      <c r="AK19" s="927">
        <f t="shared" si="5"/>
        <v>2061</v>
      </c>
      <c r="AL19" s="927">
        <f t="shared" si="5"/>
        <v>0</v>
      </c>
      <c r="AM19" s="927">
        <f t="shared" si="5"/>
        <v>0</v>
      </c>
      <c r="AN19" s="927">
        <f t="shared" si="5"/>
        <v>0</v>
      </c>
      <c r="AO19" s="929">
        <f>IF(ISNUMBER(((NºAsuntos!I19/NºAsuntos!G19)*11)/factor_trimestre),((NºAsuntos!I19/NºAsuntos!G19)*11)/factor_trimestre," - ")</f>
        <v>3.6352941176470588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3636</v>
      </c>
      <c r="G20" s="817">
        <f t="shared" si="7"/>
        <v>3902</v>
      </c>
      <c r="H20" s="818">
        <f t="shared" si="7"/>
        <v>0</v>
      </c>
      <c r="I20" s="817">
        <f t="shared" si="7"/>
        <v>0</v>
      </c>
      <c r="J20" s="819">
        <f t="shared" si="7"/>
        <v>0</v>
      </c>
      <c r="K20" s="817">
        <f t="shared" si="7"/>
        <v>0</v>
      </c>
      <c r="L20" s="820">
        <f t="shared" si="7"/>
        <v>0</v>
      </c>
      <c r="M20" s="817">
        <f t="shared" si="7"/>
        <v>0</v>
      </c>
      <c r="N20" s="818">
        <f t="shared" si="7"/>
        <v>474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2991</v>
      </c>
      <c r="Z20" s="824">
        <f t="shared" si="8"/>
        <v>856</v>
      </c>
      <c r="AA20" s="825">
        <f t="shared" si="8"/>
        <v>3667</v>
      </c>
      <c r="AB20" s="825">
        <f t="shared" si="8"/>
        <v>0</v>
      </c>
      <c r="AC20" s="825">
        <f t="shared" si="8"/>
        <v>0</v>
      </c>
      <c r="AD20" s="826">
        <f t="shared" si="8"/>
        <v>0</v>
      </c>
      <c r="AE20" s="826">
        <f t="shared" si="8"/>
        <v>13933</v>
      </c>
      <c r="AF20" s="827">
        <f t="shared" si="8"/>
        <v>0</v>
      </c>
      <c r="AG20" s="828">
        <f t="shared" si="8"/>
        <v>0</v>
      </c>
      <c r="AH20" s="829">
        <f t="shared" si="8"/>
        <v>0</v>
      </c>
      <c r="AI20" s="827">
        <f t="shared" si="8"/>
        <v>0</v>
      </c>
      <c r="AJ20" s="817">
        <f t="shared" si="8"/>
        <v>815</v>
      </c>
      <c r="AK20" s="817">
        <f t="shared" si="8"/>
        <v>3209</v>
      </c>
      <c r="AL20" s="817">
        <f t="shared" si="8"/>
        <v>0</v>
      </c>
      <c r="AM20" s="830">
        <f t="shared" si="8"/>
        <v>0</v>
      </c>
      <c r="AN20" s="820">
        <f>IF(ISNUMBER(Datos!K20/Datos!J20),Datos!K20/Datos!J20," - ")</f>
        <v>0.90425336033879578</v>
      </c>
      <c r="AO20" s="820">
        <f>IF(ISNUMBER(FIND("06",Criterios!A8,1)),(IF(ISNUMBER(((Datos!R20/Datos!Q20)*11)/factor_trimestre),((Datos!R20/Datos!Q20)*11)/factor_trimestre," - ")),(IF(ISNUMBER(((Datos!L20/Datos!K20)*11)/factor_trimestre),((Datos!L20/Datos!K20)*11)/factor_trimestre," - ")))</f>
        <v>11.519242516799023</v>
      </c>
      <c r="AP20" s="831" t="str">
        <f>IF(ISNUMBER(Datos!CI20/Datos!CJ20),Datos!CI20/Datos!CJ20," - ")</f>
        <v xml:space="preserve"> - </v>
      </c>
      <c r="AQ20" s="831">
        <f>IF(OR(ISNUMBER(FIND("01",Criterios!A8,1)),ISNUMBER(FIND("02",Criterios!A8,1)),ISNUMBER(FIND("03",Criterios!A8,1)),ISNUMBER(FIND("04",Criterios!A8,1))),(J20-Y20+K20)/(F20-K20),(I20-Y20+K20)/(F20-K20))</f>
        <v>-0.8226072607260726</v>
      </c>
      <c r="AR20" s="831">
        <f>IF(ISNUMBER((Datos!P20-Datos!Q20+O20)/(Datos!R20-Datos!P20+Datos!Q20-O20)),(Datos!P20-Datos!Q20+O20)/(Datos!R20-Datos!P20+Datos!Q20-O20)," - ")</f>
        <v>-2.6685295144952846E-2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1300.6666666666667</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1933.256009947984</v>
      </c>
      <c r="G22" s="551">
        <f>IF(ISNUMBER(STDEV(G8:G19)),STDEV(G8:G19),"-")</f>
        <v>1863.9788267753117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202.18096561531914</v>
      </c>
      <c r="AK22" s="251"/>
      <c r="AL22" s="251">
        <f>IF(ISNUMBER(STDEV(AL8:AL19)),STDEV(AL8:AL19),"-")</f>
        <v>0</v>
      </c>
      <c r="AM22" s="253">
        <f>IF(ISNUMBER(STDEV(AM8:AM19)),STDEV(AM8:AM19),"-")</f>
        <v>0</v>
      </c>
      <c r="AN22" s="538">
        <f>IF(ISNUMBER(STDEV(AN8:AN19)),STDEV(AN8:AN19),"-")</f>
        <v>0</v>
      </c>
      <c r="AO22" s="539">
        <f>IF(ISNUMBER(STDEV(AO8:AO19)),STDEV(AO8:AO19),"-")</f>
        <v>9.5381632296564618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siciaBwQj7yYZBKQGZ60k3XiADJZv0POiuXcxZwuJfVLDNfzBYSIA5RGwwSmLP3W6neunoxhoGwuH/lesyg==" saltValue="BsCGmp8rGrWR9wK0Zgi8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407eXH2LtIfjJIHQscj8GE7fb5Y/PSF8n3fZ9JNWSz2XcTORaxbhBOwaMLDe+qLKtlEDgkgldVpj7ITXWfqeg==" saltValue="72RucGlucfx6jHugFxJh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3h+Ir1XcOYWxKm+Q9HigW/98fDs04cFSVGejyY53b7JmIcjqr2iH/po0KV6vd3G2chALH2sRZ9eqD4ttjCOmQ==" saltValue="67crtlcLkGam3IWMNPhy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SAN BARTOLOME DE TIRAJANA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0.20343137254901961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0.14384770303549863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0GpSOw0Hg4UjfSYorV0IsKzLRzRLfu3HLrw9Nf9JkLaTXhQ3QjrXKCkvZrU9uskm2DfdxA/VtuXrYDkPHAcwA==" saltValue="qb8dX31thjs2SGR3HUdf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U38iC89orjZfpwfHLYA2QZvZM457CbGd7L83Y8WKURPRI8lbB0Uk5WNACSHTQ4JQdKlPgTyyZa0cSzBBnOTpg==" saltValue="GE/obBHrYl6ZWv3Vg+QI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 BARTOLOME DE TIRAJANA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14817</v>
      </c>
      <c r="D9" s="403">
        <f>IF(ISNUMBER(C9/Datos!BH9),C9/Datos!BH9," - ")</f>
        <v>2469.5</v>
      </c>
      <c r="E9" s="402">
        <f>IF(ISNUMBER(IF(J_V="SI",Datos!J9,Datos!J9+Datos!Z9)),IF(J_V="SI",Datos!J9,Datos!J9+Datos!Z9)," - ")</f>
        <v>2813</v>
      </c>
      <c r="F9" s="403">
        <f>IF(ISNUMBER(E9/B9),E9/B9," - ")</f>
        <v>468.83333333333331</v>
      </c>
      <c r="G9" s="402">
        <f>IF(ISNUMBER(IF(J_V="SI",Datos!K9,Datos!K9+Datos!AA9)),IF(J_V="SI",Datos!K9,Datos!K9+Datos!AA9)," - ")</f>
        <v>2024</v>
      </c>
      <c r="H9" s="403">
        <f>IF(ISNUMBER(G9/B9),G9/B9," - ")</f>
        <v>337.33333333333331</v>
      </c>
      <c r="I9" s="402">
        <f>IF(ISNUMBER(IF(J_V="SI",Datos!L9,Datos!L9+Datos!AB9)),IF(J_V="SI",Datos!L9,Datos!L9+Datos!AB9)," - ")</f>
        <v>15618</v>
      </c>
      <c r="J9" s="403">
        <f>IF(ISNUMBER(I9/B9),I9/B9," - ")</f>
        <v>2603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63</v>
      </c>
      <c r="D10" s="403">
        <f>IF(ISNUMBER(C10/Datos!BH10),C10/Datos!BH10," - ")</f>
        <v>63</v>
      </c>
      <c r="E10" s="402">
        <f>IF(ISNUMBER(Datos!J10),Datos!J10," - ")</f>
        <v>15</v>
      </c>
      <c r="F10" s="403">
        <f>IF(ISNUMBER(E10/B10),E10/B10," - ")</f>
        <v>15</v>
      </c>
      <c r="G10" s="402">
        <f>IF(ISNUMBER(Datos!K10),Datos!K10," - ")</f>
        <v>16</v>
      </c>
      <c r="H10" s="403">
        <f>IF(ISNUMBER(G10/B10),G10/B10," - ")</f>
        <v>16</v>
      </c>
      <c r="I10" s="402">
        <f>IF(ISNUMBER(Datos!L10),Datos!L10," - ")</f>
        <v>62</v>
      </c>
      <c r="J10" s="403">
        <f>IF(ISNUMBER(I10/B10),I10/B10," - ")</f>
        <v>62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14880</v>
      </c>
      <c r="D13" s="847" t="str">
        <f>IF(ISNUMBER(C13/Datos!BI13),C13/Datos!BI13," - ")</f>
        <v xml:space="preserve"> - </v>
      </c>
      <c r="E13" s="846">
        <f>SUBTOTAL(9,E8:E12)</f>
        <v>2828</v>
      </c>
      <c r="F13" s="847">
        <f>IF(ISNUMBER(E13/B13),E13/B13," - ")</f>
        <v>404</v>
      </c>
      <c r="G13" s="846">
        <f>SUBTOTAL(9,G8:G12)</f>
        <v>2040</v>
      </c>
      <c r="H13" s="847">
        <f>IF(ISNUMBER(G13/B13),G13/B13," - ")</f>
        <v>291.42857142857144</v>
      </c>
      <c r="I13" s="846">
        <f>SUBTOTAL(9,I8:I12)</f>
        <v>15680</v>
      </c>
      <c r="J13" s="847">
        <f>IF(ISNUMBER(I13/B13),I13/B13," - ")</f>
        <v>2240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3564</v>
      </c>
      <c r="D15" s="403">
        <f>IF(ISNUMBER(C15/Datos!BH15),C15/Datos!BH15," - ")</f>
        <v>891</v>
      </c>
      <c r="E15" s="402">
        <f>IF(ISNUMBER(IF(D_I="SI",Datos!J15,Datos!J15+Datos!AD15)),IF(D_I="SI",Datos!J15,Datos!J15+Datos!AD15)," - ")</f>
        <v>2507</v>
      </c>
      <c r="F15" s="403">
        <f>IF(ISNUMBER(E15/B15),E15/B15," - ")</f>
        <v>626.75</v>
      </c>
      <c r="G15" s="402">
        <f>IF(ISNUMBER(IF(D_I="SI",Datos!K15,Datos!K15+Datos!AE15)),IF(D_I="SI",Datos!K15,Datos!K15+Datos!AE15)," - ")</f>
        <v>2749</v>
      </c>
      <c r="H15" s="403">
        <f>IF(ISNUMBER(G15/B15),G15/B15," - ")</f>
        <v>687.25</v>
      </c>
      <c r="I15" s="402">
        <f>IF(ISNUMBER(IF(D_I="SI",Datos!L15,Datos!L15+Datos!AF15)),IF(D_I="SI",Datos!L15,Datos!L15+Datos!AF15)," - ")</f>
        <v>3329</v>
      </c>
      <c r="J15" s="403">
        <f>IF(ISNUMBER(I15/B15),I15/B15," - ")</f>
        <v>832.25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2</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2</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273</v>
      </c>
      <c r="D18" s="403">
        <f>IF(ISNUMBER(C18/Datos!BH18),C18/Datos!BH18," - ")</f>
        <v>273</v>
      </c>
      <c r="E18" s="402">
        <f>IF(ISNUMBER(IF(D_I="SI",Datos!J18,Datos!J18+Datos!AD18)),IF(D_I="SI",Datos!J18,Datos!J18+Datos!AD18)," - ")</f>
        <v>228</v>
      </c>
      <c r="F18" s="403">
        <f>IF(ISNUMBER(E18/B18),E18/B18," - ")</f>
        <v>228</v>
      </c>
      <c r="G18" s="402">
        <f>IF(ISNUMBER(IF(D_I="SI",Datos!K18,Datos!K18+Datos!AE18)),IF(D_I="SI",Datos!K18,Datos!K18+Datos!AE18)," - ")</f>
        <v>226</v>
      </c>
      <c r="H18" s="403">
        <f>IF(ISNUMBER(G18/B18),G18/B18," - ")</f>
        <v>226</v>
      </c>
      <c r="I18" s="402">
        <f>IF(ISNUMBER(IF(D_I="SI",Datos!L18,Datos!L18+Datos!AF18)),IF(D_I="SI",Datos!L18,Datos!L18+Datos!AF18)," - ")</f>
        <v>274</v>
      </c>
      <c r="J18" s="403">
        <f>IF(ISNUMBER(I18/B18),I18/B18," - ")</f>
        <v>274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3839</v>
      </c>
      <c r="D19" s="847" t="str">
        <f>IF(ISNUMBER(C19/Datos!BI19),C19/Datos!BI19," - ")</f>
        <v xml:space="preserve"> - </v>
      </c>
      <c r="E19" s="846">
        <f>SUBTOTAL(9,E14:E18)</f>
        <v>2735</v>
      </c>
      <c r="F19" s="847">
        <f>IF(ISNUMBER(E19/B19),E19/B19," - ")</f>
        <v>547</v>
      </c>
      <c r="G19" s="846">
        <f>SUBTOTAL(9,G14:G18)</f>
        <v>2975</v>
      </c>
      <c r="H19" s="847">
        <f>IF(ISNUMBER(G19/B19),G19/B19," - ")</f>
        <v>595</v>
      </c>
      <c r="I19" s="846">
        <f>SUBTOTAL(9,I14:I18)</f>
        <v>3605</v>
      </c>
      <c r="J19" s="847">
        <f>IF(ISNUMBER(I19/B19),I19/B19," - ")</f>
        <v>721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11</v>
      </c>
      <c r="C20" s="791">
        <f>SUBTOTAL(9,C9:C19)</f>
        <v>18719</v>
      </c>
      <c r="D20" s="792" t="str">
        <f>IF(ISNUMBER(C20/Datos!BI20),C20/Datos!BI20," - ")</f>
        <v xml:space="preserve"> - </v>
      </c>
      <c r="E20" s="791">
        <f>SUBTOTAL(9,E9:E19)</f>
        <v>5563</v>
      </c>
      <c r="F20" s="792">
        <f>IF(ISNUMBER(E20/B20),E20/B20," - ")</f>
        <v>505.72727272727275</v>
      </c>
      <c r="G20" s="791">
        <f>SUBTOTAL(9,G9:G19)</f>
        <v>5015</v>
      </c>
      <c r="H20" s="792">
        <f>IF(ISNUMBER(G20/B20),G20/B20," - ")</f>
        <v>455.90909090909093</v>
      </c>
      <c r="I20" s="791">
        <f>SUBTOTAL(9,I9:I19)</f>
        <v>19285</v>
      </c>
      <c r="J20" s="792">
        <f>IF(ISNUMBER(I20/B20),I20/B20," - ")</f>
        <v>1753.1818181818182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t2hVT/OUSpbiQBiTVzgsqaOui2cuxltN4qzX19IWK26JgAtAR7HvWKl4Dy8j7YfvZmkhCLTQQdrRKFq7iLpxA==" saltValue="Ih10x2Gokr7EE7NxiMwXz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 BARTOLOME DE TIRAJANA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63</v>
      </c>
      <c r="G10" s="681">
        <f>IF(ISNUMBER(Datos!I10),Datos!I10," - ")</f>
        <v>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v>
      </c>
      <c r="AC10" s="680" t="str">
        <f>IF(ISNUMBER(IF(D_I="SI",DatosP!K18,DatosP!K18+DatosP!AE18)),IF(D_I="SI",DatosP!K18,DatosP!K18+DatosP!AE18)," - ")</f>
        <v xml:space="preserve"> - </v>
      </c>
      <c r="AD10" s="682"/>
      <c r="AE10" s="682"/>
      <c r="AF10" s="685">
        <f>IF(ISNUMBER(Datos!L10),Datos!L10,"-")</f>
        <v>62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16</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11.625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63</v>
      </c>
      <c r="G13" s="933">
        <f t="shared" si="0"/>
        <v>63</v>
      </c>
      <c r="H13" s="933">
        <f t="shared" si="0"/>
        <v>0</v>
      </c>
      <c r="I13" s="935">
        <f t="shared" si="0"/>
        <v>0</v>
      </c>
      <c r="J13" s="934">
        <f t="shared" si="0"/>
        <v>0</v>
      </c>
      <c r="K13" s="934">
        <f t="shared" si="0"/>
        <v>0</v>
      </c>
      <c r="L13" s="936">
        <f t="shared" si="0"/>
        <v>0</v>
      </c>
      <c r="M13" s="936">
        <f t="shared" si="0"/>
        <v>0</v>
      </c>
      <c r="N13" s="934">
        <f t="shared" si="0"/>
        <v>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v>
      </c>
      <c r="AC13" s="934">
        <f t="shared" si="1"/>
        <v>0</v>
      </c>
      <c r="AD13" s="934">
        <f t="shared" si="1"/>
        <v>0</v>
      </c>
      <c r="AE13" s="934">
        <f t="shared" si="1"/>
        <v>0</v>
      </c>
      <c r="AF13" s="934">
        <f t="shared" si="1"/>
        <v>62</v>
      </c>
      <c r="AG13" s="934">
        <f t="shared" si="1"/>
        <v>0</v>
      </c>
      <c r="AH13" s="934">
        <f t="shared" si="1"/>
        <v>0</v>
      </c>
      <c r="AI13" s="934">
        <f t="shared" si="1"/>
        <v>0</v>
      </c>
      <c r="AJ13" s="934">
        <f t="shared" si="1"/>
        <v>0</v>
      </c>
      <c r="AK13" s="934">
        <f t="shared" si="1"/>
        <v>0</v>
      </c>
      <c r="AL13" s="934">
        <f t="shared" si="1"/>
        <v>16</v>
      </c>
      <c r="AM13" s="934">
        <f t="shared" si="1"/>
        <v>1</v>
      </c>
      <c r="AN13" s="934">
        <f t="shared" si="1"/>
        <v>0</v>
      </c>
      <c r="AO13" s="934">
        <f t="shared" si="1"/>
        <v>0</v>
      </c>
      <c r="AP13" s="939">
        <f>IF(ISNUMBER(((Datos!L13/Datos!K13)*11)/factor_trimestre),((Datos!L13/Datos!K13)*11)/factor_trimestre," - ")</f>
        <v>23.634297520661157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-0.25396825396825395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3.6352941176470588</v>
      </c>
      <c r="AQ19" s="939">
        <f>IF(ISNUMBER(((Datos!M19/Datos!L19)*11)/factor_trimestre),((Datos!M19/Datos!L19)*11)/factor_trimestre," - ")</f>
        <v>0.33287101248266304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3.783783783783784E-2</v>
      </c>
      <c r="AW19" s="941">
        <f>IF(ISNUMBER((Datos!Q19-Datos!R19)/(Datos!S19-Datos!Q19+Datos!R19)),(Datos!Q19-Datos!R19)/(Datos!S19-Datos!Q19+Datos!R19)," - ")</f>
        <v>-0.20884803217466244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63</v>
      </c>
      <c r="G20" s="946">
        <f t="shared" si="4"/>
        <v>63</v>
      </c>
      <c r="H20" s="946">
        <f t="shared" si="4"/>
        <v>0</v>
      </c>
      <c r="I20" s="947">
        <f t="shared" si="4"/>
        <v>0</v>
      </c>
      <c r="J20" s="948">
        <f t="shared" si="4"/>
        <v>0</v>
      </c>
      <c r="K20" s="948">
        <f t="shared" si="4"/>
        <v>0</v>
      </c>
      <c r="L20" s="948">
        <f t="shared" si="4"/>
        <v>0</v>
      </c>
      <c r="M20" s="948">
        <f t="shared" si="4"/>
        <v>0</v>
      </c>
      <c r="N20" s="947">
        <f t="shared" si="4"/>
        <v>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v>
      </c>
      <c r="AC20" s="952">
        <f t="shared" si="5"/>
        <v>0</v>
      </c>
      <c r="AD20" s="952">
        <f t="shared" si="5"/>
        <v>0</v>
      </c>
      <c r="AE20" s="952">
        <f t="shared" si="5"/>
        <v>0</v>
      </c>
      <c r="AF20" s="953">
        <f t="shared" si="5"/>
        <v>62</v>
      </c>
      <c r="AG20" s="953">
        <f t="shared" si="5"/>
        <v>0</v>
      </c>
      <c r="AH20" s="953">
        <f t="shared" si="5"/>
        <v>0</v>
      </c>
      <c r="AI20" s="953">
        <f t="shared" si="5"/>
        <v>0</v>
      </c>
      <c r="AJ20" s="954">
        <f t="shared" si="5"/>
        <v>0</v>
      </c>
      <c r="AK20" s="954">
        <f t="shared" si="5"/>
        <v>0</v>
      </c>
      <c r="AL20" s="946">
        <f t="shared" si="5"/>
        <v>16</v>
      </c>
      <c r="AM20" s="946">
        <f t="shared" si="5"/>
        <v>1</v>
      </c>
      <c r="AN20" s="946">
        <f t="shared" si="5"/>
        <v>0</v>
      </c>
      <c r="AO20" s="946">
        <f t="shared" si="5"/>
        <v>0</v>
      </c>
      <c r="AP20" s="946">
        <f>IF(ISNUMBER(((Datos!L20/Datos!K20)*11)/factor_trimestre),((Datos!L20/Datos!K20)*11)/factor_trimestre," - ")</f>
        <v>11.519242516799023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-0.25396825396825395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-2.6685295144952846E-2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36.373066958946424</v>
      </c>
      <c r="G22" s="734">
        <f>IF(ISNUMBER(STDEV(G8:G19)),STDEV(G8:G19),"-")</f>
        <v>36.373066958946424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9.2376043070340135</v>
      </c>
      <c r="AC22" s="735">
        <f>IF(ISNUMBER(STDEV(AC8:AC19)),STDEV(AC8:AC19),"-")</f>
        <v>0</v>
      </c>
      <c r="AD22" s="738"/>
      <c r="AE22" s="738"/>
      <c r="AF22" s="738"/>
      <c r="AG22" s="738"/>
      <c r="AH22" s="738"/>
      <c r="AI22" s="738"/>
      <c r="AJ22" s="739">
        <f>IF(ISNUMBER(STDEV(AJ8:AJ19)),STDEV(AJ8:AJ19),"-")</f>
        <v>0</v>
      </c>
      <c r="AK22" s="741"/>
      <c r="AL22" s="733">
        <f>IF(ISNUMBER(STDEV(AL8:AL19)),STDEV(AL8:AL19),"-")</f>
        <v>9.2376043070340135</v>
      </c>
      <c r="AM22" s="733"/>
      <c r="AN22" s="733">
        <f>IF(ISNUMBER(STDEV(AN8:AN19)),STDEV(AN8:AN19),"-")</f>
        <v>0</v>
      </c>
      <c r="AO22" s="739">
        <f>IF(ISNUMBER(STDEV(AO8:AO19)),STDEV(AO8:AO19),"-")</f>
        <v>0</v>
      </c>
      <c r="AP22" s="776">
        <f>IF(ISNUMBER(STDEV(AP8:AP19)),STDEV(AP8:AP19),"-")</f>
        <v>10.06660124818727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8fmM9ZXqOy6qNTW7WKJca7QPTUfAVYyLGA0gCRYP2TUgHFNkRf6LmcYqbs6HXDVcf4QynDcrNEEW0kkRFKcJQ==" saltValue="HW89VEXpf8hfhRbcNydh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SAN BARTOLOME DE TIRAJANA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132</v>
      </c>
      <c r="O9" s="333"/>
      <c r="P9" s="333"/>
      <c r="Q9" s="225">
        <f>IF(ISNUMBER(Datos!P9),Datos!P9,0)</f>
        <v>401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814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428</v>
      </c>
      <c r="AI9" s="224" t="str">
        <f>IF(ISNUMBER(Datos!CD9),Datos!CD9,"-")</f>
        <v>-</v>
      </c>
      <c r="AJ9" s="1214" t="str">
        <f>IF(ISNUMBER(Datos!EN9),Datos!EN9," - ")</f>
        <v xml:space="preserve"> - </v>
      </c>
      <c r="AK9" s="333"/>
      <c r="AL9" s="478"/>
      <c r="AM9" s="1214">
        <f>IF(ISNUMBER(Datos!R9),Datos!R9," - ")</f>
        <v>13082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399</v>
      </c>
      <c r="BD9" s="228">
        <f>IF(ISNUMBER(Datos!N9),Datos!N9," - ")</f>
        <v>1147</v>
      </c>
      <c r="BE9" s="1214" t="str">
        <f>IF(ISNUMBER(Datos!BW9),Datos!BW9," - ")</f>
        <v xml:space="preserve"> - </v>
      </c>
      <c r="BF9" s="1214" t="str">
        <f>IF(ISNUMBER(Datos!BX9),Datos!BX9," - ")</f>
        <v xml:space="preserve"> - </v>
      </c>
      <c r="BG9" s="242">
        <f>IF(ISNUMBER(IF(J_V="SI",Datos!K9/Datos!J9,(Datos!K9+Datos!AA9)/(Datos!J9+Datos!Z9))),IF(J_V="SI",Datos!K9/Datos!J9,(Datos!K9+Datos!AA9)/(Datos!J9+Datos!Z9))," - ")</f>
        <v>0.71951653039459651</v>
      </c>
      <c r="BH9" s="1214">
        <f>IF(ISNUMBER(((IF(J_V="SI",Datos!L9/Datos!K9,(Datos!L9+Datos!AB9)/(Datos!K9+Datos!AA9)))*11)/factor_trimestre),((IF(J_V="SI",Datos!L9/Datos!K9,(Datos!L9+Datos!AB9)/(Datos!K9+Datos!AA9)))*11)/factor_trimestre," - ")</f>
        <v>23.149209486166008</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-3.0603927380511299E-2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947.43669494461619</v>
      </c>
      <c r="CF9" s="228">
        <f ca="1">AVERAGEIFS($AB:$AB,$BW:$BW,BW9,$BX:$BX,BX9)</f>
        <v>947.43669494461619</v>
      </c>
      <c r="CG9" s="1191">
        <v>0.7</v>
      </c>
      <c r="CH9" s="1191">
        <f ca="1">AVERAGEIF($BW:$BW,$BW9,$AC:$AC)</f>
        <v>233.45454545454547</v>
      </c>
      <c r="CI9" s="228">
        <f ca="1">AVERAGEIFS($AC:$AC,$BW:$BW,$BW9,$BX:$BX,$BX9)</f>
        <v>233.45454545454547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1100.0999999999999</v>
      </c>
      <c r="CR9" s="228">
        <f ca="1">AVERAGEIFS($AF:$AF,$BW:$BW,BW9,$BX:$BX,BX9)</f>
        <v>1100.0999999999999</v>
      </c>
      <c r="CS9" s="1191">
        <v>1.3</v>
      </c>
      <c r="CT9" s="1191">
        <v>1.5</v>
      </c>
      <c r="CU9" s="1191">
        <f ca="1">AVERAGEIF($BW:$BW,$BW9,$AH:$AH)</f>
        <v>183.42857142857142</v>
      </c>
      <c r="CV9" s="228">
        <f ca="1">AVERAGEIFS($AH:$AH,$BW:$BW,$BW9,$BX:$BX,$BX9)</f>
        <v>183.42857142857142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3799.909090909091</v>
      </c>
      <c r="DH9" s="1218">
        <f ca="1">AVERAGEIFS($AM:$AM,$BW:$BW,$BW9,$BX:$BX,$BX9)</f>
        <v>3799.909090909091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8.22847043648067</v>
      </c>
      <c r="ER9" s="1218">
        <f ca="1">AVERAGEIFS($BH:$BH,$BW:$BW,$BW9,$BX:$BX,$BX9)</f>
        <v>8.22847043648067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v>
      </c>
      <c r="AC10" s="224">
        <f>IF(ISNUMBER(Datos!Q10),Datos!Q10," - ")</f>
        <v>1</v>
      </c>
      <c r="AD10" s="224"/>
      <c r="AE10" s="224"/>
      <c r="AF10" s="224">
        <f>IF(ISNUMBER(Datos!L10),Datos!L10,"-")</f>
        <v>62</v>
      </c>
      <c r="AG10" s="333"/>
      <c r="AH10" s="224"/>
      <c r="AI10" s="224"/>
      <c r="AJ10" s="1214"/>
      <c r="AK10" s="333"/>
      <c r="AL10" s="478"/>
      <c r="AM10" s="1214">
        <f>IF(ISNUMBER(Datos!R10),Datos!R10," - ")</f>
        <v>83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16</v>
      </c>
      <c r="BD10" s="228">
        <f>IF(ISNUMBER(Datos!N10),Datos!N10," - ")</f>
        <v>1</v>
      </c>
      <c r="BE10" s="1214" t="str">
        <f>IF(ISNUMBER(Datos!BW10),Datos!BW10," - ")</f>
        <v xml:space="preserve"> - </v>
      </c>
      <c r="BF10" s="1214" t="str">
        <f>IF(ISNUMBER(Datos!BX10),Datos!BX10," - ")</f>
        <v xml:space="preserve"> - </v>
      </c>
      <c r="BG10" s="242">
        <f>IF(ISNUMBER(Datos!K10/Datos!J10),Datos!K10/Datos!J10," - ")</f>
        <v>1.0666666666666667</v>
      </c>
      <c r="BH10" s="1214">
        <f>IF(ISNUMBER(((Datos!L10/Datos!K10)*11)/factor_trimestre),((Datos!L10/Datos!K10)*11)/factor_trimestre," - ")</f>
        <v>11.625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3.7499999999999999E-2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947.43669494461619</v>
      </c>
      <c r="CF10" s="228">
        <f ca="1">AVERAGEIFS($AB:$AB,$BW:$BW,BW10,$BX:$BX,BX10)</f>
        <v>947.43669494461619</v>
      </c>
      <c r="CG10" s="1191">
        <v>0.7</v>
      </c>
      <c r="CH10" s="1191">
        <f ca="1">AVERAGEIF($BW:$BW,BW10,$AC:$AC)</f>
        <v>233.45454545454547</v>
      </c>
      <c r="CI10" s="228">
        <f ca="1">AVERAGEIFS($AC:$AC,$BW:$BW,BW10,$BX:$BX,BX10)</f>
        <v>233.45454545454547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1100.0999999999999</v>
      </c>
      <c r="CR10" s="228">
        <f ca="1">AVERAGEIFS($AF:$AF,$BW:$BW,BW10,$BX:$BX,BX10)</f>
        <v>1100.0999999999999</v>
      </c>
      <c r="CS10" s="1191">
        <v>1.3</v>
      </c>
      <c r="CT10" s="1191">
        <v>1.5</v>
      </c>
      <c r="CU10" s="1191">
        <f ca="1">AVERAGEIF($BW:$BW,$BW10,$AH:$AH)</f>
        <v>183.42857142857142</v>
      </c>
      <c r="CV10" s="228">
        <f ca="1">AVERAGEIFS($AH:$AH,$BW:$BW,$BW10,$BX:$BX,$BX10)</f>
        <v>183.42857142857142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3799.909090909091</v>
      </c>
      <c r="DH10" s="1218">
        <f ca="1">AVERAGEIFS($AM:$AM,$BW:$BW,$BW10,$BX:$BX,$BX10)</f>
        <v>3799.909090909091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8.22847043648067</v>
      </c>
      <c r="ER10" s="1218">
        <f ca="1">AVERAGEIFS($BH:$BH,$BW:$BW,$BW10,$BX:$BX,$BX10)</f>
        <v>8.22847043648067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947.43669494461619</v>
      </c>
      <c r="CF11" s="228">
        <f ca="1">AVERAGEIFS($AB:$AB,$BW:$BW,BW11,$BX:$BX,BX11)</f>
        <v>947.43669494461619</v>
      </c>
      <c r="CG11" s="1191">
        <v>0.7</v>
      </c>
      <c r="CH11" s="1191">
        <f ca="1">AVERAGEIF($BW:$BW,BW11,$AC:$AC)</f>
        <v>233.45454545454547</v>
      </c>
      <c r="CI11" s="228">
        <f ca="1">AVERAGEIFS($AC:$AC,$BW:$BW,BW11,$BX:$BX,BX11)</f>
        <v>233.45454545454547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1100.0999999999999</v>
      </c>
      <c r="CR11" s="228">
        <f ca="1">AVERAGEIFS($AF:$AF,$BW:$BW,BW11,$BX:$BX,BX11)</f>
        <v>1100.0999999999999</v>
      </c>
      <c r="CS11" s="1191">
        <v>1.3</v>
      </c>
      <c r="CT11" s="1191">
        <v>1.5</v>
      </c>
      <c r="CU11" s="1191">
        <f ca="1">AVERAGEIF($BW:$BW,$BW11,$AH:$AH)</f>
        <v>183.42857142857142</v>
      </c>
      <c r="CV11" s="228">
        <f ca="1">AVERAGEIFS($AH:$AH,$BW:$BW,$BW11,$BX:$BX,$BX11)</f>
        <v>183.42857142857142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3799.909090909091</v>
      </c>
      <c r="DH11" s="1218">
        <f ca="1">AVERAGEIFS($AM:$AM,$BW:$BW,$BW11,$BX:$BX,$BX11)</f>
        <v>3799.909090909091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8.22847043648067</v>
      </c>
      <c r="ER11" s="1218">
        <f ca="1">AVERAGEIFS($BH:$BH,$BW:$BW,$BW11,$BX:$BX,$BX11)</f>
        <v>8.22847043648067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947.43669494461619</v>
      </c>
      <c r="CF12" s="228">
        <f ca="1">AVERAGEIFS($AB:$AB,$BW:$BW,BW12,$BX:$BX,BX12)</f>
        <v>947.43669494461619</v>
      </c>
      <c r="CG12" s="1191">
        <v>0.7</v>
      </c>
      <c r="CH12" s="1191">
        <f ca="1">AVERAGEIF($BW:$BW,BW12,$AC:$AC)</f>
        <v>233.45454545454547</v>
      </c>
      <c r="CI12" s="228">
        <f ca="1">AVERAGEIFS($AC:$AC,$BW:$BW,BW12,$BX:$BX,BX12)</f>
        <v>233.45454545454547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1100.0999999999999</v>
      </c>
      <c r="CR12" s="228">
        <f ca="1">AVERAGEIFS($AF:$AF,$BW:$BW,BW12,$BX:$BX,BX12)</f>
        <v>1100.0999999999999</v>
      </c>
      <c r="CS12" s="1191">
        <v>1.3</v>
      </c>
      <c r="CT12" s="1191">
        <v>1.5</v>
      </c>
      <c r="CU12" s="1191">
        <f ca="1">AVERAGEIF($BW:$BW,$BW12,$AH:$AH)</f>
        <v>183.42857142857142</v>
      </c>
      <c r="CV12" s="228">
        <f ca="1">AVERAGEIFS($AH:$AH,$BW:$BW,$BW12,$BX:$BX,$BX12)</f>
        <v>183.42857142857142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3799.909090909091</v>
      </c>
      <c r="DH12" s="1218">
        <f ca="1">AVERAGEIFS($AM:$AM,$BW:$BW,$BW12,$BX:$BX,$BX12)</f>
        <v>3799.909090909091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8.22847043648067</v>
      </c>
      <c r="ER12" s="1218">
        <f ca="1">AVERAGEIFS($BH:$BH,$BW:$BW,$BW12,$BX:$BX,$BX12)</f>
        <v>8.22847043648067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63</v>
      </c>
      <c r="G13" s="895">
        <f t="shared" si="1"/>
        <v>63</v>
      </c>
      <c r="H13" s="896">
        <f t="shared" si="1"/>
        <v>0</v>
      </c>
      <c r="I13" s="895">
        <f t="shared" si="1"/>
        <v>0</v>
      </c>
      <c r="J13" s="864">
        <f t="shared" si="1"/>
        <v>0</v>
      </c>
      <c r="K13" s="864">
        <f t="shared" si="1"/>
        <v>0</v>
      </c>
      <c r="L13" s="896">
        <f t="shared" si="1"/>
        <v>0</v>
      </c>
      <c r="M13" s="896">
        <f t="shared" si="1"/>
        <v>0</v>
      </c>
      <c r="N13" s="896">
        <f t="shared" si="1"/>
        <v>132</v>
      </c>
      <c r="O13" s="897">
        <f t="shared" si="1"/>
        <v>0</v>
      </c>
      <c r="P13" s="897">
        <f t="shared" si="1"/>
        <v>0</v>
      </c>
      <c r="Q13" s="896">
        <f t="shared" si="1"/>
        <v>405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v>
      </c>
      <c r="AC13" s="896">
        <f t="shared" si="2"/>
        <v>815</v>
      </c>
      <c r="AD13" s="896">
        <f t="shared" si="2"/>
        <v>0</v>
      </c>
      <c r="AE13" s="896">
        <f t="shared" si="2"/>
        <v>0</v>
      </c>
      <c r="AF13" s="896">
        <f t="shared" si="2"/>
        <v>62</v>
      </c>
      <c r="AG13" s="896">
        <f t="shared" si="2"/>
        <v>0</v>
      </c>
      <c r="AH13" s="896">
        <f t="shared" si="2"/>
        <v>428</v>
      </c>
      <c r="AI13" s="896">
        <f t="shared" si="2"/>
        <v>0</v>
      </c>
      <c r="AJ13" s="896">
        <f t="shared" si="2"/>
        <v>0</v>
      </c>
      <c r="AK13" s="896">
        <f t="shared" si="2"/>
        <v>0</v>
      </c>
      <c r="AL13" s="896">
        <f t="shared" si="2"/>
        <v>0</v>
      </c>
      <c r="AM13" s="896">
        <f t="shared" si="2"/>
        <v>13165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415</v>
      </c>
      <c r="BD13" s="896">
        <f t="shared" si="2"/>
        <v>1148</v>
      </c>
      <c r="BE13" s="896">
        <f t="shared" si="2"/>
        <v>0</v>
      </c>
      <c r="BF13" s="896">
        <f t="shared" si="2"/>
        <v>0</v>
      </c>
      <c r="BG13" s="896">
        <f>IF(ISNUMBER(Datos!K13/Datos!J13),Datos!K13/Datos!J13," - ")</f>
        <v>0.71810089020771517</v>
      </c>
      <c r="BH13" s="900">
        <f>IF(ISNUMBER(((Datos!L13/Datos!K13)*11)/factor_trimestre),((Datos!L13/Datos!K13)*11)/factor_trimestre," - ")</f>
        <v>23.634297520661157</v>
      </c>
      <c r="BI13" s="896">
        <f>IF(ISNUMBER('Resol  Asuntos'!D13/NºAsuntos!G13),'Resol  Asuntos'!D13/NºAsuntos!G13," - ")</f>
        <v>0.20343137254901961</v>
      </c>
      <c r="BJ13" s="896" t="str">
        <f>IF(ISNUMBER(Datos!CI13/Datos!CJ13),Datos!CI13/Datos!CJ13," - ")</f>
        <v xml:space="preserve"> - </v>
      </c>
      <c r="BK13" s="896">
        <f>SUBTOTAL(9,BK8:BK12)</f>
        <v>0</v>
      </c>
      <c r="BL13" s="896">
        <f>IF(ISNUMBER((I13-AB13+L13)/(F13)),(I13-AB13+L13)/(F13)," - ")</f>
        <v>-0.25396825396825395</v>
      </c>
      <c r="BM13" s="901">
        <f>SUBTOTAL(9,BM9:BM12)</f>
        <v>6.8960726194886995E-3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3571</v>
      </c>
      <c r="G15" s="596">
        <f>IF(ISNUMBER(IF(D_I="SI",Datos!I15,Datos!I15+Datos!AC15)),IF(D_I="SI",Datos!I15,Datos!I15+Datos!AC15)," - ")</f>
        <v>3564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2749</v>
      </c>
      <c r="AC15" s="224">
        <f>IF(ISNUMBER(Datos!Q15),Datos!Q15," - ")</f>
        <v>36</v>
      </c>
      <c r="AD15" s="224"/>
      <c r="AE15" s="224"/>
      <c r="AF15" s="224">
        <f>IF(ISNUMBER(IF(D_I="SI",Datos!L15,Datos!L15+Datos!AF15)),IF(D_I="SI",Datos!L15,Datos!L15+Datos!AF15)," - ")</f>
        <v>3329</v>
      </c>
      <c r="AG15" s="333"/>
      <c r="AH15" s="224"/>
      <c r="AI15" s="224"/>
      <c r="AJ15" s="1214"/>
      <c r="AK15" s="333"/>
      <c r="AL15" s="478"/>
      <c r="AM15" s="1214">
        <f>IF(ISNUMBER(Datos!R15),Datos!R15," - ")</f>
        <v>739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363</v>
      </c>
      <c r="BD15" s="228">
        <f>IF(ISNUMBER(Datos!N15),Datos!N15," - ")</f>
        <v>1939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1.0965297167929797</v>
      </c>
      <c r="BH15" s="1214">
        <f>IF(ISNUMBER(((IF(D_I="SI",Datos!L15/Datos!K15,(Datos!L15+Datos!AF15)/(Datos!K15+Datos!AE15)))*11)/factor_trimestre),((IF(D_I="SI",Datos!L15/Datos!K15,(Datos!L15+Datos!AF15)/(Datos!K15+Datos!AE15)))*11)/factor_trimestre," - ")</f>
        <v>3.6329574390687522</v>
      </c>
      <c r="BI15" s="242">
        <f>IF(ISNUMBER('Resol  Asuntos'!D15/NºAsuntos!G15),'Resol  Asuntos'!D15/NºAsuntos!G15," - ")</f>
        <v>0.13204801746089487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947.43669494461619</v>
      </c>
      <c r="CF15" s="228">
        <f ca="1">AVERAGEIFS($AB:$AB,$BW:$BW,BW15,$BX:$BX,BX15)</f>
        <v>947.43669494461619</v>
      </c>
      <c r="CG15" s="1191">
        <v>0.7</v>
      </c>
      <c r="CH15" s="1191">
        <f ca="1">AVERAGEIF($BW:$BW,BW15,$AC:$AC)</f>
        <v>233.45454545454547</v>
      </c>
      <c r="CI15" s="228">
        <f ca="1">AVERAGEIFS($AC:$AC,$BW:$BW,BW15,$BX:$BX,BX15)</f>
        <v>233.45454545454547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1100.0999999999999</v>
      </c>
      <c r="CR15" s="228">
        <f ca="1">AVERAGEIFS($AF:$AF,$BW:$BW,BW15,$BX:$BX,BX15)</f>
        <v>1100.0999999999999</v>
      </c>
      <c r="CS15" s="1191">
        <v>1.3</v>
      </c>
      <c r="CT15" s="1191">
        <v>1.5</v>
      </c>
      <c r="CU15" s="1191">
        <f ca="1">AVERAGEIF($BW:$BW,$BW15,$AH:$AH)</f>
        <v>183.42857142857142</v>
      </c>
      <c r="CV15" s="228">
        <f ca="1">AVERAGEIFS($AH:$AH,$BW:$BW,$BW15,$BX:$BX,$BX15)</f>
        <v>183.42857142857142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3799.909090909091</v>
      </c>
      <c r="DH15" s="1218">
        <f ca="1">AVERAGEIFS($AM:$AM,$BW:$BW,$BW15,$BX:$BX,$BX15)</f>
        <v>3799.909090909091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8.22847043648067</v>
      </c>
      <c r="ER15" s="1218">
        <f ca="1">AVERAGEIFS($BH:$BH,$BW:$BW,$BW15,$BX:$BX,$BX15)</f>
        <v>8.22847043648067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947.43669494461619</v>
      </c>
      <c r="CF16" s="1218">
        <f ca="1">AVERAGEIFS($AB:$AB,$BW:$BW,BW16,$BX:$BX,BX16)</f>
        <v>947.43669494461619</v>
      </c>
      <c r="CG16" s="1191">
        <v>0.7</v>
      </c>
      <c r="CH16" s="1191">
        <f ca="1">AVERAGEIF($BW:$BW,BW16,$AC:$AC)</f>
        <v>233.45454545454547</v>
      </c>
      <c r="CI16" s="1218">
        <f ca="1">AVERAGEIFS($AC:$AC,$BW:$BW,BW16,$BX:$BX,BX16)</f>
        <v>233.45454545454547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1100.0999999999999</v>
      </c>
      <c r="CR16" s="1218">
        <f ca="1">AVERAGEIFS($AF:$AF,$BW:$BW,BW16,$BX:$BX,BX16)</f>
        <v>1100.0999999999999</v>
      </c>
      <c r="CS16" s="1191">
        <v>1.3</v>
      </c>
      <c r="CT16" s="1191">
        <v>1.5</v>
      </c>
      <c r="CU16" s="1191">
        <f ca="1">AVERAGEIF($BW:$BW,$BW16,$AH:$AH)</f>
        <v>183.42857142857142</v>
      </c>
      <c r="CV16" s="1218">
        <f ca="1">AVERAGEIFS($AH:$AH,$BW:$BW,$BW16,$BX:$BX,$BX16)</f>
        <v>183.42857142857142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3799.909090909091</v>
      </c>
      <c r="DH16" s="1218">
        <f ca="1">AVERAGEIFS($AM:$AM,$BW:$BW,$BW16,$BX:$BX,$BX16)</f>
        <v>3799.909090909091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8.22847043648067</v>
      </c>
      <c r="ER16" s="1218">
        <f ca="1">AVERAGEIFS($BH:$BH,$BW:$BW,$BW16,$BX:$BX,$BX16)</f>
        <v>8.22847043648067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2</v>
      </c>
      <c r="G17" s="596">
        <f>IF(ISNUMBER(IF(D_I="SI",Datos!I17,Datos!I17+Datos!AC17)),IF(D_I="SI",Datos!I17,Datos!I17+Datos!AC17)," - ")</f>
        <v>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2</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947.43669494461619</v>
      </c>
      <c r="CF17" s="228">
        <f ca="1">AVERAGEIFS($AB:$AB,$BW:$BW,BW17,$BX:$BX,BX17)</f>
        <v>947.43669494461619</v>
      </c>
      <c r="CG17" s="1191">
        <v>0.7</v>
      </c>
      <c r="CH17" s="1191">
        <f ca="1">AVERAGEIF($BW:$BW,BW17,$AC:$AC)</f>
        <v>233.45454545454547</v>
      </c>
      <c r="CI17" s="228">
        <f ca="1">AVERAGEIFS($AC:$AC,$BW:$BW,BW17,$BX:$BX,BX17)</f>
        <v>233.45454545454547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1100.0999999999999</v>
      </c>
      <c r="CR17" s="228">
        <f ca="1">AVERAGEIFS($AF:$AF,$BW:$BW,BW17,$BX:$BX,BX17)</f>
        <v>1100.0999999999999</v>
      </c>
      <c r="CS17" s="1191">
        <v>1.3</v>
      </c>
      <c r="CT17" s="1191">
        <v>1.5</v>
      </c>
      <c r="CU17" s="1191">
        <f ca="1">AVERAGEIF($BW:$BW,$BW17,$AH:$AH)</f>
        <v>183.42857142857142</v>
      </c>
      <c r="CV17" s="228">
        <f ca="1">AVERAGEIFS($AH:$AH,$BW:$BW,$BW17,$BX:$BX,$BX17)</f>
        <v>183.42857142857142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3799.909090909091</v>
      </c>
      <c r="DH17" s="1218">
        <f ca="1">AVERAGEIFS($AM:$AM,$BW:$BW,$BW17,$BX:$BX,$BX17)</f>
        <v>3799.909090909091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8.22847043648067</v>
      </c>
      <c r="ER17" s="1218">
        <f ca="1">AVERAGEIFS($BH:$BH,$BW:$BW,$BW17,$BX:$BX,$BX17)</f>
        <v>8.22847043648067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273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226</v>
      </c>
      <c r="AC18" s="224">
        <f>IF(ISNUMBER(Datos!Q18),Datos!Q18," - ")</f>
        <v>5</v>
      </c>
      <c r="AD18" s="224"/>
      <c r="AE18" s="224"/>
      <c r="AF18" s="224">
        <f>IF(ISNUMBER(Datos!L18),Datos!L18,"-")</f>
        <v>274</v>
      </c>
      <c r="AG18" s="333"/>
      <c r="AH18" s="224"/>
      <c r="AI18" s="224"/>
      <c r="AJ18" s="1214"/>
      <c r="AK18" s="333"/>
      <c r="AL18" s="478"/>
      <c r="AM18" s="1214">
        <f>IF(ISNUMBER(Datos!R18),Datos!R18," - ")</f>
        <v>29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37</v>
      </c>
      <c r="BD18" s="228">
        <f>IF(ISNUMBER(Datos!N18),Datos!N18," - ")</f>
        <v>122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0.99122807017543857</v>
      </c>
      <c r="BH18" s="1214">
        <f>IF(ISNUMBER(((IF(D_I="SI",Datos!L18/Datos!K18,(Datos!L18+Datos!AF18)/(Datos!K18+Datos!AE18)))*11)/factor_trimestre),((IF(D_I="SI",Datos!L18/Datos!K18,(Datos!L18+Datos!AF18)/(Datos!K18+Datos!AE18)))*11)/factor_trimestre," - ")</f>
        <v>3.6371681415929209</v>
      </c>
      <c r="BI18" s="242">
        <f>IF(ISNUMBER('Resol  Asuntos'!D18/NºAsuntos!G18),'Resol  Asuntos'!D18/NºAsuntos!G18," - ")</f>
        <v>0.16371681415929204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947.43669494461619</v>
      </c>
      <c r="CF18" s="228">
        <f ca="1">AVERAGEIFS($AB:$AB,$BW:$BW,BW18,$BX:$BX,BX18)</f>
        <v>947.43669494461619</v>
      </c>
      <c r="CG18" s="1191">
        <v>0.7</v>
      </c>
      <c r="CH18" s="1191">
        <f ca="1">AVERAGEIF($BW:$BW,BW18,$AC:$AC)</f>
        <v>233.45454545454547</v>
      </c>
      <c r="CI18" s="228">
        <f ca="1">AVERAGEIFS($AC:$AC,$BW:$BW,BW18,$BX:$BX,BX18)</f>
        <v>233.45454545454547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1100.0999999999999</v>
      </c>
      <c r="CR18" s="228">
        <f ca="1">AVERAGEIFS($AF:$AF,$BW:$BW,BW18,$BX:$BX,BX18)</f>
        <v>1100.0999999999999</v>
      </c>
      <c r="CS18" s="1191">
        <v>1.3</v>
      </c>
      <c r="CT18" s="1191">
        <v>1.5</v>
      </c>
      <c r="CU18" s="1191">
        <f ca="1">AVERAGEIF($BW:$BW,$BW18,$AH:$AH)</f>
        <v>183.42857142857142</v>
      </c>
      <c r="CV18" s="228">
        <f ca="1">AVERAGEIFS($AH:$AH,$BW:$BW,$BW18,$BX:$BX,$BX18)</f>
        <v>183.42857142857142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3799.909090909091</v>
      </c>
      <c r="DH18" s="1218">
        <f ca="1">AVERAGEIFS($AM:$AM,$BW:$BW,$BW18,$BX:$BX,$BX18)</f>
        <v>3799.909090909091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8.22847043648067</v>
      </c>
      <c r="ER18" s="1218">
        <f ca="1">AVERAGEIFS($BH:$BH,$BW:$BW,$BW18,$BX:$BX,$BX18)</f>
        <v>8.22847043648067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3573</v>
      </c>
      <c r="G19" s="895">
        <f>SUBTOTAL(9,G15:G18)</f>
        <v>3839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2975</v>
      </c>
      <c r="AC19" s="896">
        <f t="shared" si="5"/>
        <v>41</v>
      </c>
      <c r="AD19" s="896">
        <f t="shared" si="5"/>
        <v>0</v>
      </c>
      <c r="AE19" s="896">
        <f t="shared" si="5"/>
        <v>0</v>
      </c>
      <c r="AF19" s="896">
        <f t="shared" si="5"/>
        <v>3605</v>
      </c>
      <c r="AG19" s="896">
        <f t="shared" si="5"/>
        <v>0</v>
      </c>
      <c r="AH19" s="896">
        <f t="shared" si="5"/>
        <v>0</v>
      </c>
      <c r="AI19" s="896">
        <f t="shared" si="5"/>
        <v>0</v>
      </c>
      <c r="AJ19" s="896">
        <f t="shared" si="5"/>
        <v>0</v>
      </c>
      <c r="AK19" s="896">
        <f t="shared" si="5"/>
        <v>0</v>
      </c>
      <c r="AL19" s="896">
        <f t="shared" si="5"/>
        <v>0</v>
      </c>
      <c r="AM19" s="896">
        <f t="shared" si="5"/>
        <v>768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400</v>
      </c>
      <c r="BD19" s="896">
        <f t="shared" si="5"/>
        <v>2061</v>
      </c>
      <c r="BE19" s="896">
        <f t="shared" si="5"/>
        <v>0</v>
      </c>
      <c r="BF19" s="896">
        <f t="shared" si="5"/>
        <v>0</v>
      </c>
      <c r="BG19" s="896">
        <f>IF(ISNUMBER(Datos!K19/Datos!J19),Datos!K19/Datos!J19," - ")</f>
        <v>1.0877513711151736</v>
      </c>
      <c r="BH19" s="900">
        <f>IF(ISNUMBER(((Datos!L19/Datos!K19)*11)/factor_trimestre),((Datos!L19/Datos!K19)*11)/factor_trimestre," - ")</f>
        <v>3.6352941176470588</v>
      </c>
      <c r="BI19" s="896">
        <f>SUBTOTAL(9,BI15:BI18)</f>
        <v>0.29576483162018691</v>
      </c>
      <c r="BJ19" s="896">
        <f>SUBTOTAL(9,BJ15:BJ18)</f>
        <v>0</v>
      </c>
      <c r="BK19" s="896">
        <f>SUBTOTAL(9,BK15:BK18)</f>
        <v>0</v>
      </c>
      <c r="BL19" s="896">
        <f>IF(ISNUMBER((I19-AB19+L19)/(F19)),(I19-AB19+L19)/(F19)," - ")</f>
        <v>-0.83263364119787298</v>
      </c>
      <c r="BM19" s="902">
        <f>IF(ISNUMBER((Datos!P19-Datos!Q19)/(Datos!R19-Datos!P19+Datos!Q19)),(Datos!P19-Datos!Q19)/(Datos!R19-Datos!P19+Datos!Q19)," - ")</f>
        <v>3.783783783783784E-2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3636</v>
      </c>
      <c r="G20" s="817">
        <f t="shared" si="7"/>
        <v>3902</v>
      </c>
      <c r="H20" s="819">
        <f t="shared" si="7"/>
        <v>0</v>
      </c>
      <c r="I20" s="817">
        <f t="shared" si="7"/>
        <v>0</v>
      </c>
      <c r="J20" s="819">
        <f t="shared" si="7"/>
        <v>0</v>
      </c>
      <c r="K20" s="819">
        <f t="shared" si="7"/>
        <v>0</v>
      </c>
      <c r="L20" s="878">
        <f t="shared" si="7"/>
        <v>0</v>
      </c>
      <c r="M20" s="878">
        <f t="shared" si="7"/>
        <v>0</v>
      </c>
      <c r="N20" s="878">
        <f t="shared" si="7"/>
        <v>132</v>
      </c>
      <c r="O20" s="878">
        <f t="shared" si="7"/>
        <v>0</v>
      </c>
      <c r="P20" s="878">
        <f t="shared" si="7"/>
        <v>0</v>
      </c>
      <c r="Q20" s="819">
        <f t="shared" si="7"/>
        <v>474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2991</v>
      </c>
      <c r="AC20" s="818">
        <f t="shared" si="8"/>
        <v>856</v>
      </c>
      <c r="AD20" s="818">
        <f t="shared" si="8"/>
        <v>0</v>
      </c>
      <c r="AE20" s="818">
        <f t="shared" si="8"/>
        <v>0</v>
      </c>
      <c r="AF20" s="825">
        <f t="shared" si="8"/>
        <v>3667</v>
      </c>
      <c r="AG20" s="825">
        <f t="shared" si="8"/>
        <v>0</v>
      </c>
      <c r="AH20" s="825">
        <f t="shared" si="8"/>
        <v>428</v>
      </c>
      <c r="AI20" s="825">
        <f t="shared" si="8"/>
        <v>0</v>
      </c>
      <c r="AJ20" s="818">
        <f t="shared" si="8"/>
        <v>0</v>
      </c>
      <c r="AK20" s="825">
        <f t="shared" si="8"/>
        <v>0</v>
      </c>
      <c r="AL20" s="825">
        <f t="shared" si="8"/>
        <v>0</v>
      </c>
      <c r="AM20" s="825">
        <f t="shared" si="8"/>
        <v>13933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815</v>
      </c>
      <c r="BD20" s="817">
        <f t="shared" si="8"/>
        <v>3209</v>
      </c>
      <c r="BE20" s="817">
        <f t="shared" si="8"/>
        <v>0</v>
      </c>
      <c r="BF20" s="827">
        <f t="shared" si="8"/>
        <v>0</v>
      </c>
      <c r="BG20" s="912">
        <f>IF(ISNUMBER(Datos!K20/Datos!J20),Datos!K20/Datos!J20," - ")</f>
        <v>0.90425336033879578</v>
      </c>
      <c r="BH20" s="912">
        <f>IF(ISNUMBER(((Datos!L20/Datos!K20)*11)/factor_trimestre),((Datos!L20/Datos!K20)*11)/factor_trimestre," - ")</f>
        <v>11.519242516799023</v>
      </c>
      <c r="BI20" s="810">
        <f>IF(ISNUMBER(Datos!J20/Datos!I20),Datos!J20/Datos!I20," - ")</f>
        <v>0.29646814782466291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-0.8226072607260726</v>
      </c>
      <c r="BM20" s="886">
        <f>IF(ISNUMBER((Datos!P20-Datos!Q20+R20)/(Datos!R20-Datos!P20+Datos!Q20-R20)),(Datos!P20-Datos!Q20+R20)/(Datos!R20-Datos!P20+Datos!Q20-R20)," - ")</f>
        <v>-2.6685295144952846E-2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1300.6666666666667</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2.7968235951204043</v>
      </c>
      <c r="F22" s="550">
        <f>IF(ISNUMBER(STDEV(F8:F19)),STDEV(F8:F19),"-")</f>
        <v>1933.256009947984</v>
      </c>
      <c r="G22" s="551">
        <f>IF(ISNUMBER(STDEV(G8:G19)),STDEV(G8:G19),"-")</f>
        <v>1863.9788267753117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1448.8036443907781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202.18096561531914</v>
      </c>
      <c r="BD22" s="550"/>
      <c r="BE22" s="550">
        <f>IF(ISNUMBER(STDEV(BE8:BE19)),STDEV(BE8:BE19),"-")</f>
        <v>0</v>
      </c>
      <c r="BF22" s="555">
        <f>IF(ISNUMBER(STDEV(BF8:BF19)),STDEV(BF8:BF19),"-")</f>
        <v>0</v>
      </c>
      <c r="BG22" s="772">
        <f>IF(ISNUMBER(STDEV(BG8:BG19)),STDEV(BG8:BG19),"-")</f>
        <v>0.1803269462710867</v>
      </c>
      <c r="BH22" s="773">
        <f>IF(ISNUMBER(STDEV(BH8:BH19)),STDEV(BH8:BH19),"-")</f>
        <v>9.6800055793524482</v>
      </c>
      <c r="BI22" s="248">
        <f>IF(ISNUMBER(STDEV(BI8:BI19)),STDEV(BI8:BI19),"-")</f>
        <v>7.0970113448033209E-2</v>
      </c>
      <c r="BJ22" s="1415" t="str">
        <f>IF(ISNUMBER(BL22/BM22),BL22/BM22," - ")</f>
        <v xml:space="preserve"> - </v>
      </c>
      <c r="BK22" s="574"/>
      <c r="BL22" s="558">
        <f>IF(ISNUMBER(STDEV(BL8:BL19)),STDEV(BL8:BL19),"-")</f>
        <v>0.40917821934800297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QA3J035pzxjxc5j98G0Bq8dVBn5Z9niY9lEfRmrkLc9a49hcUo7HJ7GnFz+GY/FD9+BGaMpsXMT5Zy7AXV1vg==" saltValue="rzZ7pAQMqZpCAyEnnJRfT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SAN BARTOLOME DE TIRAJANA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0.20343137254901961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0.14384770303549863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oNFPJ+Iqh4qwzi4ajIk8OmR/RWnpTOu/++aNi05I92J6yxvR2CHCtjzkcXBd2iEz0mlqKuK7uI4t791+WWkvw==" saltValue="UEMd5RC558hPuXC1Jw+uO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SAN BARTOLOME DE TIRAJANA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71euy0gCG3gsfflzyEagj45O2WoyvMCjTi/w1thJEm6KKFKy4lvEX1o2q7LHlpPxe78XMhP7GlnDAgMbm9zsA==" saltValue="4OOf+Rtt2THo+8+U3mxsG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SAN BARTOLOME DE TIRAJANA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9bUGh2PYZLx7EWQeErPsdeHNNSzRDbVtnwCZA2UD4ZUO9SsbDRgNDHLumpUw1yqnhbvjJSyD7z7MKD+Qoyg==" saltValue="HDQBfOI2niFo18m7gymsD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 BARTOLOME DE TIRAJANA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399</v>
      </c>
      <c r="E9" s="403">
        <f t="shared" ref="E9:E13" si="0">IF(ISNUMBER(D9/B9),D9/B9," - ")</f>
        <v>66.5</v>
      </c>
      <c r="F9" s="402">
        <f>IF(ISNUMBER(Datos!N9),Datos!N9," - ")</f>
        <v>1147</v>
      </c>
      <c r="G9" s="403">
        <f t="shared" ref="G9:G13" si="1">IF(ISNUMBER(F9/B9),F9/B9," - ")</f>
        <v>191.16666666666666</v>
      </c>
      <c r="H9" s="402">
        <f>IF(ISNUMBER(Datos!O9),Datos!O9," - ")</f>
        <v>648</v>
      </c>
      <c r="I9" s="403">
        <f>IF(ISNUMBER(H9/B9),H9/B9," - ")</f>
        <v>108</v>
      </c>
      <c r="BZ9" s="1181">
        <f>Datos!EZ9</f>
        <v>0</v>
      </c>
    </row>
    <row r="10" spans="1:78">
      <c r="A10" s="401" t="str">
        <f>Datos!A10</f>
        <v>Sección De Violencia sobre la Mujer del TI</v>
      </c>
      <c r="B10" s="426">
        <f>Datos!AO10</f>
        <v>1</v>
      </c>
      <c r="C10" s="409">
        <f>Datos!AQ10</f>
        <v>1</v>
      </c>
      <c r="D10" s="402">
        <f>IF(ISNUMBER(Datos!M10),Datos!M10," - ")</f>
        <v>16</v>
      </c>
      <c r="E10" s="403">
        <f>IF(ISNUMBER(D10/B10),D10/B10," - ")</f>
        <v>16</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415</v>
      </c>
      <c r="E13" s="847">
        <f t="shared" si="0"/>
        <v>59.285714285714285</v>
      </c>
      <c r="F13" s="846">
        <f>SUBTOTAL(9,F9:F12)</f>
        <v>1148</v>
      </c>
      <c r="G13" s="847">
        <f t="shared" si="1"/>
        <v>164</v>
      </c>
      <c r="H13" s="846">
        <f>SUBTOTAL(9,H9:H12)</f>
        <v>648</v>
      </c>
      <c r="I13" s="847">
        <f>IF(ISNUMBER(H13/B13),H13/B13," - ")</f>
        <v>92.571428571428569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363</v>
      </c>
      <c r="E15" s="403">
        <f t="shared" ref="E15:E19" si="3">IF(ISNUMBER(D15/B15),D15/B15," - ")</f>
        <v>90.75</v>
      </c>
      <c r="F15" s="402">
        <f>IF(ISNUMBER(Datos!N15),Datos!N15," - ")</f>
        <v>1939</v>
      </c>
      <c r="G15" s="403">
        <f t="shared" ref="G15:G19" si="4">IF(ISNUMBER(F15/B15),F15/B15," - ")</f>
        <v>484.75</v>
      </c>
      <c r="H15" s="402">
        <f>IF(ISNUMBER(Datos!O15),Datos!O15," - ")</f>
        <v>29</v>
      </c>
      <c r="I15" s="403">
        <f t="shared" ref="I15:I18" si="5">IF(ISNUMBER(H15/B15),H15/B15," - ")</f>
        <v>7.25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37</v>
      </c>
      <c r="E18" s="403">
        <f>IF(ISNUMBER(D18/B18),D18/B18," - ")</f>
        <v>37</v>
      </c>
      <c r="F18" s="402">
        <f>IF(ISNUMBER(Datos!N18),Datos!N18," - ")</f>
        <v>122</v>
      </c>
      <c r="G18" s="403">
        <f>IF(ISNUMBER(F18/B18),F18/B18," - ")</f>
        <v>122</v>
      </c>
      <c r="H18" s="402">
        <f>IF(ISNUMBER(Datos!O18),Datos!O18," - ")</f>
        <v>5</v>
      </c>
      <c r="I18" s="403">
        <f t="shared" si="5"/>
        <v>5</v>
      </c>
      <c r="BZ18" s="1181">
        <f>Datos!EZ18</f>
        <v>0</v>
      </c>
    </row>
    <row r="19" spans="1:78" ht="14.25" thickTop="1" thickBot="1">
      <c r="A19" s="845" t="str">
        <f>Datos!A19</f>
        <v>TOTAL</v>
      </c>
      <c r="B19" s="846">
        <f>Datos!AP19</f>
        <v>5</v>
      </c>
      <c r="C19" s="848">
        <f>Datos!AR19</f>
        <v>5</v>
      </c>
      <c r="D19" s="846">
        <f>SUBTOTAL(9,D15:D18)</f>
        <v>400</v>
      </c>
      <c r="E19" s="847">
        <f t="shared" si="3"/>
        <v>80</v>
      </c>
      <c r="F19" s="846">
        <f>SUBTOTAL(9,F15:F18)</f>
        <v>2061</v>
      </c>
      <c r="G19" s="847">
        <f t="shared" si="4"/>
        <v>412.2</v>
      </c>
      <c r="H19" s="846">
        <f>SUBTOTAL(9,H15:H18)</f>
        <v>34</v>
      </c>
      <c r="I19" s="847">
        <f>IF(ISNUMBER(H19/B19),H19/B19," - ")</f>
        <v>6.8</v>
      </c>
      <c r="BZ19" s="1181"/>
    </row>
    <row r="20" spans="1:78" ht="14.25" thickTop="1" thickBot="1">
      <c r="A20" s="790" t="str">
        <f>Datos!A20</f>
        <v>TOTAL JURISDICCIONES</v>
      </c>
      <c r="B20" s="791">
        <f>Datos!AP20</f>
        <v>11</v>
      </c>
      <c r="C20" s="791">
        <f>Datos!AR20</f>
        <v>11</v>
      </c>
      <c r="D20" s="791">
        <f>SUBTOTAL(9,D8:D19)</f>
        <v>815</v>
      </c>
      <c r="E20" s="792">
        <f>IF(ISNUMBER(D20/B20),D20/B20," - ")</f>
        <v>74.090909090909093</v>
      </c>
      <c r="F20" s="791">
        <f>SUBTOTAL(9,F8:F19)</f>
        <v>3209</v>
      </c>
      <c r="G20" s="792">
        <f>IF(ISNUMBER(F20/B20),F20/B20," - ")</f>
        <v>291.72727272727275</v>
      </c>
      <c r="H20" s="791">
        <f>SUBTOTAL(9,H8:H19)</f>
        <v>682</v>
      </c>
      <c r="I20" s="792">
        <f>IF(ISNUMBER(H20/B20),H20/B20," - ")</f>
        <v>62</v>
      </c>
    </row>
    <row r="23" spans="1:78">
      <c r="A23" s="390" t="str">
        <f>Criterios!A4</f>
        <v>Fecha Informe: 18 jun. 2026</v>
      </c>
    </row>
    <row r="28" spans="1:78">
      <c r="A28" s="413"/>
    </row>
  </sheetData>
  <sheetProtection algorithmName="SHA-512" hashValue="Suakg3Chvt3Q8DKGXRMXP89nkeicCOLcux5Am+j5KaUmF2GJ+s+mzefGJjFxXEoQ6eY3+AUgjLntjFHQ+YvVvQ==" saltValue="VUHi9tO7z+Gnk7UE8tdi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 BARTOLOME DE TIRAJANA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401</v>
      </c>
      <c r="C9" s="433">
        <f>IF(ISNUMBER(Datos!Q9),Datos!Q9," - ")</f>
        <v>814</v>
      </c>
      <c r="D9" s="407">
        <f>IF(ISNUMBER(Datos!R9),Datos!R9," - ")</f>
        <v>13082</v>
      </c>
    </row>
    <row r="10" spans="1:4">
      <c r="A10" s="401" t="str">
        <f>Datos!A10</f>
        <v>Sección De Violencia sobre la Mujer del TI</v>
      </c>
      <c r="B10" s="432">
        <f>IF(ISNUMBER(Datos!P10),Datos!P10," - ")</f>
        <v>4</v>
      </c>
      <c r="C10" s="433">
        <f>IF(ISNUMBER(Datos!Q10),Datos!Q10," - ")</f>
        <v>1</v>
      </c>
      <c r="D10" s="407">
        <f>IF(ISNUMBER(Datos!R10),Datos!R10," - ")</f>
        <v>83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405</v>
      </c>
      <c r="C13" s="850">
        <f>SUBTOTAL(9,C9:C12)</f>
        <v>815</v>
      </c>
      <c r="D13" s="848">
        <f>SUBTOTAL(9,D9:D12)</f>
        <v>13165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64</v>
      </c>
      <c r="C15" s="433">
        <f>IF(ISNUMBER(Datos!Q15),Datos!Q15," - ")</f>
        <v>36</v>
      </c>
      <c r="D15" s="407">
        <f>IF(ISNUMBER(Datos!R15),Datos!R15," - ")</f>
        <v>739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5</v>
      </c>
      <c r="C18" s="433">
        <f>IF(ISNUMBER(Datos!Q18),Datos!Q18," - ")</f>
        <v>5</v>
      </c>
      <c r="D18" s="407">
        <f>IF(ISNUMBER(Datos!R18),Datos!R18," - ")</f>
        <v>29</v>
      </c>
    </row>
    <row r="19" spans="1:4" ht="14.25" thickTop="1" thickBot="1">
      <c r="A19" s="845" t="str">
        <f>Datos!A19</f>
        <v>TOTAL</v>
      </c>
      <c r="B19" s="846">
        <f>SUBTOTAL(9,B15:B18)</f>
        <v>69</v>
      </c>
      <c r="C19" s="850">
        <f>SUBTOTAL(9,C15:C18)</f>
        <v>41</v>
      </c>
      <c r="D19" s="848">
        <f>SUBTOTAL(9,D15:D18)</f>
        <v>768</v>
      </c>
    </row>
    <row r="20" spans="1:4" ht="16.5" customHeight="1" thickTop="1" thickBot="1">
      <c r="A20" s="790" t="str">
        <f>Datos!A20</f>
        <v>TOTAL JURISDICCIONES</v>
      </c>
      <c r="B20" s="795">
        <f>SUBTOTAL(9,B8:B19)</f>
        <v>474</v>
      </c>
      <c r="C20" s="796">
        <f>SUBTOTAL(9,C8:C19)</f>
        <v>856</v>
      </c>
      <c r="D20" s="797">
        <f>SUBTOTAL(9,D8:D19)</f>
        <v>13933</v>
      </c>
    </row>
    <row r="21" spans="1:4" ht="7.5" customHeight="1"/>
    <row r="22" spans="1:4" ht="6" customHeight="1"/>
    <row r="23" spans="1:4">
      <c r="A23" s="390" t="str">
        <f>Criterios!A4</f>
        <v>Fecha Informe: 18 jun. 2026</v>
      </c>
    </row>
    <row r="28" spans="1:4">
      <c r="A28" s="413"/>
    </row>
  </sheetData>
  <sheetProtection algorithmName="SHA-512" hashValue="KRNZ8L2+xrviVg7UwpTPQ+jxiHOc3drh2etA8XErOiVxYxQSI4db61NXB2aM4Wc1cPFvTE2IUwqWW4iUGiO2qQ==" saltValue="o+H+Iv80eZiJYGZu9jV1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 BARTOLOME DE TIRAJANA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3.8768928771733033E-2</v>
      </c>
      <c r="C9" s="455">
        <f>IF(ISNUMBER(
   IF(J_V="SI",(Datos!J9-Datos!T9)/Datos!T9,(Datos!J9+Datos!Z9-(Datos!T9+Datos!AH9))/(Datos!T9+Datos!AH9))
     ),IF(J_V="SI",(Datos!J9-Datos!T9)/Datos!T9,(Datos!J9+Datos!Z9-(Datos!T9+Datos!AH9))/(Datos!T9+Datos!AH9))," - ")</f>
        <v>-0.54782189358624012</v>
      </c>
      <c r="D9" s="455">
        <f>IF(ISNUMBER(
   IF(J_V="SI",(Datos!K9-Datos!U9)/Datos!U9,(Datos!K9+Datos!AA9-(Datos!U9+Datos!AI9))/(Datos!U9+Datos!AI9))
     ),IF(J_V="SI",(Datos!K9-Datos!U9)/Datos!U9,(Datos!K9+Datos!AA9-(Datos!U9+Datos!AI9))/(Datos!U9+Datos!AI9))," - ")</f>
        <v>-0.49043303121852971</v>
      </c>
      <c r="E9" s="455">
        <f>IF(ISNUMBER(
   IF(J_V="SI",(Datos!L9-Datos!V9)/Datos!V9,(Datos!L9+Datos!AB9-(Datos!V9+Datos!AJ9))/(Datos!V9+Datos!AJ9))
     ),IF(J_V="SI",(Datos!L9-Datos!V9)/Datos!V9,(Datos!L9+Datos!AB9-(Datos!V9+Datos!AJ9))/(Datos!V9+Datos!AJ9))," - ")</f>
        <v>-5.3569264331596173E-2</v>
      </c>
      <c r="F9" s="455">
        <f>IF(ISNUMBER((Datos!M9-Datos!W9)/Datos!W9),(Datos!M9-Datos!W9)/Datos!W9," - ")</f>
        <v>-0.41921397379912662</v>
      </c>
      <c r="G9" s="456">
        <f>IF(ISNUMBER((Datos!N9-Datos!X9)/Datos!X9),(Datos!N9-Datos!X9)/Datos!X9," - ")</f>
        <v>-0.56992875890513683</v>
      </c>
      <c r="H9" s="454">
        <f>IF(ISNUMBER(((NºAsuntos!G9/NºAsuntos!E9)-Datos!BD9)/Datos!BD9),((NºAsuntos!G9/NºAsuntos!E9)-Datos!BD9)/Datos!BD9," - ")</f>
        <v>0.12691649939193972</v>
      </c>
      <c r="I9" s="455">
        <f>IF(ISNUMBER(((NºAsuntos!I9/NºAsuntos!G9)-Datos!BE9)/Datos!BE9),((NºAsuntos!I9/NºAsuntos!G9)-Datos!BE9)/Datos!BE9," - ")</f>
        <v>0.85732355833740126</v>
      </c>
      <c r="J9" s="460">
        <f>IF(ISNUMBER((('Resol  Asuntos'!D9/NºAsuntos!G9)-Datos!BF9)/Datos!BF9),(('Resol  Asuntos'!D9/NºAsuntos!G9)-Datos!BF9)/Datos!BF9," - ")</f>
        <v>-0.70640502941084926</v>
      </c>
      <c r="K9" s="461">
        <f>IF(ISNUMBER((((NºAsuntos!C9+NºAsuntos!E9)/NºAsuntos!G9)-Datos!BG9)/Datos!BG9),(((NºAsuntos!C9+NºAsuntos!E9)/NºAsuntos!G9)-Datos!BG9)/Datos!BG9," - ")</f>
        <v>0.688943322068302</v>
      </c>
    </row>
    <row r="10" spans="1:11" ht="21">
      <c r="A10" s="401" t="str">
        <f>Datos!A10</f>
        <v>Sección De Violencia sobre la Mujer del TI</v>
      </c>
      <c r="B10" s="454">
        <f>IF(ISNUMBER((Datos!I10-Datos!S10)/Datos!S10),(Datos!I10-Datos!S10)/Datos!S10," - ")</f>
        <v>-0.24096385542168675</v>
      </c>
      <c r="C10" s="455">
        <f>IF(ISNUMBER((Datos!J10-Datos!T10)/Datos!T10),(Datos!J10-Datos!T10)/Datos!T10," - ")</f>
        <v>-0.625</v>
      </c>
      <c r="D10" s="455">
        <f>IF(ISNUMBER((Datos!K10-Datos!U10)/Datos!U10),(Datos!K10-Datos!U10)/Datos!U10," - ")</f>
        <v>-0.4838709677419355</v>
      </c>
      <c r="E10" s="455">
        <f>IF(ISNUMBER((Datos!L10-Datos!V10)/Datos!V10),(Datos!L10-Datos!V10)/Datos!V10," - ")</f>
        <v>-0.32608695652173914</v>
      </c>
      <c r="F10" s="455">
        <f>IF(ISNUMBER((Datos!M10-Datos!W10)/Datos!W10),(Datos!M10-Datos!W10)/Datos!W10," - ")</f>
        <v>-5.8823529411764705E-2</v>
      </c>
      <c r="G10" s="456">
        <f>IF(ISNUMBER((Datos!N10-Datos!X10)/Datos!X10),(Datos!N10-Datos!X10)/Datos!X10," - ")</f>
        <v>-0.75</v>
      </c>
      <c r="H10" s="454">
        <f>IF(ISNUMBER(((NºAsuntos!G10/NºAsuntos!E10)-Datos!BD10)/Datos!BD10),((NºAsuntos!G10/NºAsuntos!E10)-Datos!BD10)/Datos!BD10," - ")</f>
        <v>0.37634408602150532</v>
      </c>
      <c r="I10" s="455">
        <f>IF(ISNUMBER(((NºAsuntos!I10/NºAsuntos!G10)-Datos!BE10)/Datos!BE10),((NºAsuntos!I10/NºAsuntos!G10)-Datos!BE10)/Datos!BE10," - ")</f>
        <v>0.30570652173913043</v>
      </c>
      <c r="J10" s="460">
        <f>IF(ISNUMBER((('Resol  Asuntos'!D10/NºAsuntos!G10)-Datos!BF10)/Datos!BF10),(('Resol  Asuntos'!D10/NºAsuntos!G10)-Datos!BF10)/Datos!BF10," - ")</f>
        <v>0.82352941176470607</v>
      </c>
      <c r="K10" s="461">
        <f>IF(ISNUMBER((((NºAsuntos!C10+NºAsuntos!E10)/NºAsuntos!G10)-Datos!BG10)/Datos!BG10),(((NºAsuntos!C10+NºAsuntos!E10)/NºAsuntos!G10)-Datos!BG10)/Datos!BG10," - ")</f>
        <v>0.22865853658536583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3.7150623823795914E-2</v>
      </c>
      <c r="C13" s="852">
        <f>IF(ISNUMBER(
   IF(J_V="SI",(Datos!J13-Datos!T13)/Datos!T13,(Datos!J13+Datos!Z13-(Datos!T13+Datos!AH13))/(Datos!T13+Datos!AH13))
     ),IF(J_V="SI",(Datos!J13-Datos!T13)/Datos!T13,(Datos!J13+Datos!Z13-(Datos!T13+Datos!AH13))/(Datos!T13+Datos!AH13))," - ")</f>
        <v>-0.54831496566043758</v>
      </c>
      <c r="D13" s="852">
        <f>IF(ISNUMBER(
   IF(J_V="SI",(Datos!K13-Datos!U13)/Datos!U13,(Datos!K13+Datos!AA13-(Datos!U13+Datos!AI13))/(Datos!U13+Datos!AI13))
     ),IF(J_V="SI",(Datos!K13-Datos!U13)/Datos!U13,(Datos!K13+Datos!AA13-(Datos!U13+Datos!AI13))/(Datos!U13+Datos!AI13))," - ")</f>
        <v>-0.49038221333999499</v>
      </c>
      <c r="E13" s="852">
        <f>IF(ISNUMBER(
   IF(J_V="SI",(Datos!L13-Datos!V13)/Datos!V13,(Datos!L13+Datos!AB13-(Datos!V13+Datos!AJ13))/(Datos!V13+Datos!AJ13))
     ),IF(J_V="SI",(Datos!L13-Datos!V13)/Datos!V13,(Datos!L13+Datos!AB13-(Datos!V13+Datos!AJ13))/(Datos!V13+Datos!AJ13))," - ")</f>
        <v>-5.5080149451609016E-2</v>
      </c>
      <c r="F13" s="853">
        <f>IF(ISNUMBER((Datos!M13-Datos!W13)/Datos!W13),(Datos!M13-Datos!W13)/Datos!W13," - ")</f>
        <v>-0.41051136363636365</v>
      </c>
      <c r="G13" s="854">
        <f>IF(ISNUMBER((Datos!N13-Datos!X13)/Datos!X13),(Datos!N13-Datos!X13)/Datos!X13," - ")</f>
        <v>-0.57019842755522276</v>
      </c>
      <c r="H13" s="854">
        <f>IF(ISNUMBER(((NºAsuntos!G13/NºAsuntos!E13)-Datos!BD13)/Datos!BD13),((NºAsuntos!G13/NºAsuntos!E13)-Datos!BD13)/Datos!BD13," - ")</f>
        <v>0.12825918043786833</v>
      </c>
      <c r="I13" s="854">
        <f>IF(ISNUMBER(((NºAsuntos!I13/NºAsuntos!G13)-Datos!BE13)/Datos!BE13),((NºAsuntos!I13/NºAsuntos!G13)-Datos!BE13)/Datos!BE13," - ")</f>
        <v>0.85417360869863201</v>
      </c>
      <c r="J13" s="854">
        <f>IF(ISNUMBER((('Resol  Asuntos'!D13/NºAsuntos!G13)-Datos!BF13)/Datos!BF13),(('Resol  Asuntos'!D13/NºAsuntos!G13)-Datos!BF13)/Datos!BF13," - ")</f>
        <v>-0.69659620554630197</v>
      </c>
      <c r="K13" s="854">
        <f>IF(ISNUMBER((((NºAsuntos!C13+NºAsuntos!E13)/NºAsuntos!G13)-Datos!BG13)/Datos!BG13),(((NºAsuntos!C13+NºAsuntos!E13)/NºAsuntos!G13)-Datos!BG13)/Datos!BG13," - ")</f>
        <v>0.68612237014370936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0.39545810493343775</v>
      </c>
      <c r="C15" s="455">
        <f>IF(ISNUMBER(
   IF(D_I="SI",(Datos!J15-Datos!T15)/Datos!T15,(Datos!J15+Datos!AD15-(Datos!T15+Datos!AL15))/(Datos!T15+Datos!AL15))
     ),IF(D_I="SI",(Datos!J15-Datos!T15)/Datos!T15,(Datos!J15+Datos!AD15-(Datos!T15+Datos!AL15))/(Datos!T15+Datos!AL15))," - ")</f>
        <v>-0.13937521455544113</v>
      </c>
      <c r="D15" s="455">
        <f>IF(ISNUMBER(
   IF(D_I="SI",(Datos!K15-Datos!U15)/Datos!U15,(Datos!K15+Datos!AE15-(Datos!U15+Datos!AM15))/(Datos!U15+Datos!AM15))
     ),IF(D_I="SI",(Datos!K15-Datos!U15)/Datos!U15,(Datos!K15+Datos!AE15-(Datos!U15+Datos!AM15))/(Datos!U15+Datos!AM15))," - ")</f>
        <v>-8.7620311981413873E-2</v>
      </c>
      <c r="E15" s="455">
        <f>IF(ISNUMBER(
   IF(D_I="SI",(Datos!L15-Datos!V15)/Datos!V15,(Datos!L15+Datos!AF15-(Datos!V15+Datos!AN15))/(Datos!V15+Datos!AN15))
     ),IF(D_I="SI",(Datos!L15-Datos!V15)/Datos!V15,(Datos!L15+Datos!AF15-(Datos!V15+Datos!AN15))/(Datos!V15+Datos!AN15))," - ")</f>
        <v>0.34125705076551166</v>
      </c>
      <c r="F15" s="455">
        <f>IF(ISNUMBER((Datos!M15-Datos!W15)/Datos!W15),(Datos!M15-Datos!W15)/Datos!W15," - ")</f>
        <v>1.1142061281337047E-2</v>
      </c>
      <c r="G15" s="456">
        <f>IF(ISNUMBER((Datos!N15-Datos!X15)/Datos!X15),(Datos!N15-Datos!X15)/Datos!X15," - ")</f>
        <v>-9.0525328330206378E-2</v>
      </c>
      <c r="H15" s="454">
        <f>IF(ISNUMBER(((NºAsuntos!G15/NºAsuntos!E15)-Datos!BD15)/Datos!BD15),((NºAsuntos!G15/NºAsuntos!E15)-Datos!BD15)/Datos!BD15," - ")</f>
        <v>6.0136430473929657E-2</v>
      </c>
      <c r="I15" s="455">
        <f>IF(ISNUMBER(((NºAsuntos!I15/NºAsuntos!G15)-Datos!BE15)/Datos!BE15),((NºAsuntos!I15/NºAsuntos!G15)-Datos!BE15)/Datos!BE15," - ")</f>
        <v>0.47006456673571723</v>
      </c>
      <c r="J15" s="460">
        <f>IF(ISNUMBER((('Resol  Asuntos'!D15/NºAsuntos!G15)-Datos!BF15)/Datos!BF15),(('Resol  Asuntos'!D15/NºAsuntos!G15)-Datos!BF15)/Datos!BF15," - ")</f>
        <v>0.10824701005480847</v>
      </c>
      <c r="K15" s="461">
        <f>IF(ISNUMBER((((NºAsuntos!C15+NºAsuntos!E15)/NºAsuntos!G15)-Datos!BG15)/Datos!BG15),(((NºAsuntos!C15+NºAsuntos!E15)/NºAsuntos!G15)-Datos!BG15)/Datos!BG15," - ")</f>
        <v>0.21712603076376841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-0.33333333333333331</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0.421875</v>
      </c>
      <c r="C18" s="455">
        <f>IF(ISNUMBER(
   IF(D_I="SI",(Datos!J18-Datos!T18)/Datos!T18,(Datos!J18+Datos!AD18-(Datos!T18+Datos!AL18))/(Datos!T18+Datos!AL18))
     ),IF(D_I="SI",(Datos!J18-Datos!T18)/Datos!T18,(Datos!J18+Datos!AD18-(Datos!T18+Datos!AL18))/(Datos!T18+Datos!AL18))," - ")</f>
        <v>-0.17391304347826086</v>
      </c>
      <c r="D18" s="455">
        <f>IF(ISNUMBER(
   IF(D_I="SI",(Datos!K18-Datos!U18)/Datos!U18,(Datos!K18+Datos!AE18-(Datos!U18+Datos!AM18))/(Datos!U18+Datos!AM18))
     ),IF(D_I="SI",(Datos!K18-Datos!U18)/Datos!U18,(Datos!K18+Datos!AE18-(Datos!U18+Datos!AM18))/(Datos!U18+Datos!AM18))," - ")</f>
        <v>-1.7391304347826087E-2</v>
      </c>
      <c r="E18" s="455">
        <f>IF(ISNUMBER(
   IF(D_I="SI",(Datos!L18-Datos!V18)/Datos!V18,(Datos!L18+Datos!AF18-(Datos!V18+Datos!AN18))/(Datos!V18+Datos!AN18))
     ),IF(D_I="SI",(Datos!L18-Datos!V18)/Datos!V18,(Datos!L18+Datos!AF18-(Datos!V18+Datos!AN18))/(Datos!V18+Datos!AN18))," - ")</f>
        <v>0.14644351464435146</v>
      </c>
      <c r="F18" s="455">
        <f>IF(ISNUMBER((Datos!M18-Datos!W18)/Datos!W18),(Datos!M18-Datos!W18)/Datos!W18," - ")</f>
        <v>-0.28846153846153844</v>
      </c>
      <c r="G18" s="456">
        <f>IF(ISNUMBER((Datos!N18-Datos!X18)/Datos!X18),(Datos!N18-Datos!X18)/Datos!X18," - ")</f>
        <v>-8.2706766917293228E-2</v>
      </c>
      <c r="H18" s="454">
        <f>IF(ISNUMBER(((NºAsuntos!G18/NºAsuntos!E18)-Datos!BD18)/Datos!BD18),((NºAsuntos!G18/NºAsuntos!E18)-Datos!BD18)/Datos!BD18," - ")</f>
        <v>0.18947368421052624</v>
      </c>
      <c r="I18" s="455">
        <f>IF(ISNUMBER(((NºAsuntos!I18/NºAsuntos!G18)-Datos!BE18)/Datos!BE18),((NºAsuntos!I18/NºAsuntos!G18)-Datos!BE18)/Datos!BE18," - ")</f>
        <v>0.16673455030177373</v>
      </c>
      <c r="J18" s="460">
        <f>IF(ISNUMBER((('Resol  Asuntos'!D18/NºAsuntos!G18)-Datos!BF18)/Datos!BF18),(('Resol  Asuntos'!D18/NºAsuntos!G18)-Datos!BF18)/Datos!BF18," - ")</f>
        <v>-0.27586793737236215</v>
      </c>
      <c r="K18" s="461">
        <f>IF(ISNUMBER((((NºAsuntos!C18+NºAsuntos!E18)/NºAsuntos!G18)-Datos!BG18)/Datos!BG18),(((NºAsuntos!C18+NºAsuntos!E18)/NºAsuntos!G18)-Datos!BG18)/Datos!BG18," - ")</f>
        <v>8.9459950079419218E-2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0.39397240377632536</v>
      </c>
      <c r="C19" s="852">
        <f>IF(ISNUMBER(
   IF(Criterios!B14="SI",(Datos!J19-Datos!T19)/Datos!T19,(Datos!J19+Datos!AD19-(Datos!T19+Datos!AL19))/(Datos!T19+Datos!AL19))
     ),IF(Criterios!B14="SI",(Datos!J19-Datos!T19)/Datos!T19,(Datos!J19+Datos!AD19-(Datos!T19+Datos!AL19))/(Datos!T19+Datos!AL19))," - ")</f>
        <v>-0.14236437754782064</v>
      </c>
      <c r="D19" s="852">
        <f>IF(ISNUMBER(
   IF(Criterios!B14="SI",(Datos!K19-Datos!U19)/Datos!U19,(Datos!K19+Datos!AE19-(Datos!U19+Datos!AM19))/(Datos!U19+Datos!AM19))
     ),IF(Criterios!B14="SI",(Datos!K19-Datos!U19)/Datos!U19,(Datos!K19+Datos!AE19-(Datos!U19+Datos!AM19))/(Datos!U19+Datos!AM19))," - ")</f>
        <v>-8.3769633507853408E-2</v>
      </c>
      <c r="E19" s="852">
        <f>IF(ISNUMBER(
   IF(Criterios!B14="SI",(Datos!L19-Datos!V19)/Datos!V19,(Datos!L19+Datos!AF19-(Datos!V19+Datos!AN19))/(Datos!V19+Datos!AN19))
     ),IF(Criterios!B14="SI",(Datos!L19-Datos!V19)/Datos!V19,(Datos!L19+Datos!AF19-(Datos!V19+Datos!AN19))/(Datos!V19+Datos!AN19))," - ")</f>
        <v>0.3234214390602056</v>
      </c>
      <c r="F19" s="853">
        <f>IF(ISNUMBER((Datos!M19-Datos!W19)/Datos!W19),(Datos!M19-Datos!W19)/Datos!W19," - ")</f>
        <v>-2.6763990267639901E-2</v>
      </c>
      <c r="G19" s="854">
        <f>IF(ISNUMBER((Datos!N19-Datos!X19)/Datos!X19),(Datos!N19-Datos!X19)/Datos!X19," - ")</f>
        <v>-9.1670339356544728E-2</v>
      </c>
      <c r="H19" s="854">
        <f>IF(ISNUMBER(((NºAsuntos!G19/NºAsuntos!E19)-Datos!BD19)/Datos!BD19),((NºAsuntos!G19/NºAsuntos!E19)-Datos!BD19)/Datos!BD19," - ")</f>
        <v>6.8321257310221276E-2</v>
      </c>
      <c r="I19" s="854">
        <f>IF(ISNUMBER(((NºAsuntos!I19/NºAsuntos!G19)-Datos!BE19)/Datos!BE19),((NºAsuntos!I19/NºAsuntos!G19)-Datos!BE19)/Datos!BE19," - ")</f>
        <v>0.44441997063142424</v>
      </c>
      <c r="J19" s="854">
        <f>IF(ISNUMBER((('Resol  Asuntos'!D19/NºAsuntos!G19)-Datos!BF19)/Datos!BF19),(('Resol  Asuntos'!D19/NºAsuntos!G19)-Datos!BF19)/Datos!BF19," - ")</f>
        <v>6.2217587765032979E-2</v>
      </c>
      <c r="K19" s="854">
        <f>IF(ISNUMBER((((NºAsuntos!C19+NºAsuntos!E19)/NºAsuntos!G19)-Datos!BG19)/Datos!BG19),(((NºAsuntos!C19+NºAsuntos!E19)/NºAsuntos!G19)-Datos!BG19)/Datos!BG19," - ")</f>
        <v>0.20731136270762718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9.461435003800947E-2</v>
      </c>
      <c r="C20" s="799">
        <f>IF(ISNUMBER(
   IF(J_V="SI",(Datos!J20-Datos!T20)/Datos!T20,(Datos!J20+Datos!Z20-(Datos!T20+Datos!AH20))/(Datos!T20+Datos!AH20))
     ),IF(J_V="SI",(Datos!J20-Datos!T20)/Datos!T20,(Datos!J20+Datos!Z20-(Datos!T20+Datos!AH20))/(Datos!T20+Datos!AH20))," - ")</f>
        <v>-0.41132275132275131</v>
      </c>
      <c r="D20" s="799">
        <f>IF(ISNUMBER(
   IF(J_V="SI",(Datos!K20-Datos!U20)/Datos!U20,(Datos!K20+Datos!AA20-(Datos!U20+Datos!AI20))/(Datos!U20+Datos!AI20))
     ),IF(J_V="SI",(Datos!K20-Datos!U20)/Datos!U20,(Datos!K20+Datos!AA20-(Datos!U20+Datos!AI20))/(Datos!U20+Datos!AI20))," - ")</f>
        <v>-0.30827586206896551</v>
      </c>
      <c r="E20" s="799">
        <f>IF(ISNUMBER(
   IF(J_V="SI",(Datos!L20-Datos!V20)/Datos!V20,(Datos!L20+Datos!AB20-(Datos!V20+Datos!AJ20))/(Datos!V20+Datos!AJ20))
     ),IF(J_V="SI",(Datos!L20-Datos!V20)/Datos!V20,(Datos!L20+Datos!AB20-(Datos!V20+Datos!AJ20))/(Datos!V20+Datos!AJ20))," - ")</f>
        <v>-1.7082513717776168E-3</v>
      </c>
      <c r="F20" s="800">
        <f>IF(ISNUMBER((Datos!M20-Datos!W20)/Datos!W20),(Datos!M20-Datos!W20)/Datos!W20," - ")</f>
        <v>-0.26905829596412556</v>
      </c>
      <c r="G20" s="801">
        <f>IF(ISNUMBER((Datos!N20-Datos!X20)/Datos!X20),(Datos!N20-Datos!X20)/Datos!X20," - ")</f>
        <v>-0.35040485829959517</v>
      </c>
      <c r="H20" s="802">
        <f>IF(ISNUMBER((Tasas!B20-Datos!BD20)/Datos!BD20),(Tasas!B20-Datos!BD20)/Datos!BD20," - ")</f>
        <v>0.17504819404067509</v>
      </c>
      <c r="I20" s="803">
        <f>IF(ISNUMBER((Tasas!C20-Datos!BE20)/Datos!BE20),(Tasas!C20-Datos!BE20)/Datos!BE20," - ")</f>
        <v>0.44319345514548619</v>
      </c>
      <c r="J20" s="804">
        <f>IF(ISNUMBER((Tasas!D20-Datos!BF20)/Datos!BF20),(Tasas!D20-Datos!BF20)/Datos!BF20," - ")</f>
        <v>-0.61931652538346194</v>
      </c>
      <c r="K20" s="804">
        <f>IF(ISNUMBER((Tasas!E20-Datos!BG20)/Datos!BG20),(Tasas!E20-Datos!BG20)/Datos!BG20," - ")</f>
        <v>0.3221192886257801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POHWg+GMxnuKw+cnsQhJ8ptGsXRczC47AdPBmHjv/tlCkmzWaeMj/OCqRehRRRpcd6uzPAl3j3dAJ1AgriVuQ==" saltValue="dAFiGgUbw4YtZrMv2Gwxw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 BARTOLOME DE TIRAJANA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0.71951653039459651</v>
      </c>
      <c r="C9" s="442">
        <f>IF(ISNUMBER(NºAsuntos!I9/NºAsuntos!G9),NºAsuntos!I9/NºAsuntos!G9," - ")</f>
        <v>7.7164031620553359</v>
      </c>
      <c r="D9" s="443">
        <f>IF(ISNUMBER('Resol  Asuntos'!D9/NºAsuntos!G9),'Resol  Asuntos'!D9/NºAsuntos!G9," - ")</f>
        <v>0.19713438735177866</v>
      </c>
      <c r="E9" s="444">
        <f>IF(ISNUMBER((NºAsuntos!C9+NºAsuntos!E9)/NºAsuntos!G9),(NºAsuntos!C9+NºAsuntos!E9)/NºAsuntos!G9," - ")</f>
        <v>8.7104743083003946</v>
      </c>
      <c r="G9" s="462"/>
    </row>
    <row r="10" spans="1:7" ht="21">
      <c r="A10" s="401" t="str">
        <f>Datos!A10</f>
        <v>Sección De Violencia sobre la Mujer del TI</v>
      </c>
      <c r="B10" s="441">
        <f>IF(ISNUMBER(NºAsuntos!G10/NºAsuntos!E10),NºAsuntos!G10/NºAsuntos!E10," - ")</f>
        <v>1.0666666666666667</v>
      </c>
      <c r="C10" s="442">
        <f>IF(ISNUMBER(NºAsuntos!I10/NºAsuntos!G10),NºAsuntos!I10/NºAsuntos!G10," - ")</f>
        <v>3.875</v>
      </c>
      <c r="D10" s="443">
        <f>IF(ISNUMBER('Resol  Asuntos'!D10/NºAsuntos!G10),'Resol  Asuntos'!D10/NºAsuntos!G10," - ")</f>
        <v>1</v>
      </c>
      <c r="E10" s="444">
        <f>IF(ISNUMBER((NºAsuntos!C10+NºAsuntos!E10)/NºAsuntos!G10),(NºAsuntos!C10+NºAsuntos!E10)/NºAsuntos!G10," - ")</f>
        <v>4.875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0.7213578500707214</v>
      </c>
      <c r="C13" s="856">
        <f>IF(ISNUMBER(NºAsuntos!I13/NºAsuntos!G13),NºAsuntos!I13/NºAsuntos!G13," - ")</f>
        <v>7.6862745098039218</v>
      </c>
      <c r="D13" s="857">
        <f>IF(ISNUMBER('Resol  Asuntos'!D13/NºAsuntos!G13),'Resol  Asuntos'!D13/NºAsuntos!G13," - ")</f>
        <v>0.20343137254901961</v>
      </c>
      <c r="E13" s="858">
        <f>IF(ISNUMBER((NºAsuntos!C13+NºAsuntos!E13)/NºAsuntos!G13),(NºAsuntos!C13+NºAsuntos!E13)/NºAsuntos!G13," - ")</f>
        <v>8.6803921568627445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1.0965297167929797</v>
      </c>
      <c r="C15" s="442">
        <f>IF(ISNUMBER(NºAsuntos!I15/NºAsuntos!G15),NºAsuntos!I15/NºAsuntos!G15," - ")</f>
        <v>1.2109858130229174</v>
      </c>
      <c r="D15" s="443">
        <f>IF(ISNUMBER('Resol  Asuntos'!D15/NºAsuntos!G15),'Resol  Asuntos'!D15/NºAsuntos!G15," - ")</f>
        <v>0.13204801746089487</v>
      </c>
      <c r="E15" s="444">
        <f>IF(ISNUMBER((NºAsuntos!C15+NºAsuntos!E15)/NºAsuntos!G15),(NºAsuntos!C15+NºAsuntos!E15)/NºAsuntos!G15," - ")</f>
        <v>2.2084394325209167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0.99122807017543857</v>
      </c>
      <c r="C18" s="442">
        <f>IF(ISNUMBER(NºAsuntos!I18/NºAsuntos!G18),NºAsuntos!I18/NºAsuntos!G18," - ")</f>
        <v>1.2123893805309736</v>
      </c>
      <c r="D18" s="443">
        <f>IF(ISNUMBER('Resol  Asuntos'!D18/NºAsuntos!G18),'Resol  Asuntos'!D18/NºAsuntos!G18," - ")</f>
        <v>0.16371681415929204</v>
      </c>
      <c r="E18" s="444">
        <f>IF(ISNUMBER((NºAsuntos!C18+NºAsuntos!E18)/NºAsuntos!G18),(NºAsuntos!C18+NºAsuntos!E18)/NºAsuntos!G18," - ")</f>
        <v>2.2168141592920354</v>
      </c>
      <c r="G18" s="462"/>
    </row>
    <row r="19" spans="1:7" ht="14.25" thickTop="1" thickBot="1">
      <c r="A19" s="845" t="str">
        <f>Datos!A19</f>
        <v>TOTAL</v>
      </c>
      <c r="B19" s="855">
        <f>IF(ISNUMBER(NºAsuntos!G19/NºAsuntos!E19),NºAsuntos!G19/NºAsuntos!E19," - ")</f>
        <v>1.0877513711151736</v>
      </c>
      <c r="C19" s="856">
        <f>IF(ISNUMBER(NºAsuntos!I19/NºAsuntos!G19),NºAsuntos!I19/NºAsuntos!G19," - ")</f>
        <v>1.2117647058823529</v>
      </c>
      <c r="D19" s="859">
        <f>IF(ISNUMBER('Resol  Asuntos'!D19/NºAsuntos!G19),'Resol  Asuntos'!D19/NºAsuntos!G19," - ")</f>
        <v>0.13445378151260504</v>
      </c>
      <c r="E19" s="858">
        <f>IF(ISNUMBER((NºAsuntos!C19+NºAsuntos!E19)/NºAsuntos!G19),(NºAsuntos!C19+NºAsuntos!E19)/NºAsuntos!G19," - ")</f>
        <v>2.2097478991596637</v>
      </c>
      <c r="G19" s="462"/>
    </row>
    <row r="20" spans="1:7" ht="15.75" customHeight="1" thickTop="1" thickBot="1">
      <c r="A20" s="790" t="str">
        <f>Datos!A20</f>
        <v>TOTAL JURISDICCIONES</v>
      </c>
      <c r="B20" s="805">
        <f>IF(ISNUMBER(NºAsuntos!G20/NºAsuntos!E20),NºAsuntos!G20/NºAsuntos!E20," - ")</f>
        <v>0.90149200071903646</v>
      </c>
      <c r="C20" s="806">
        <f>IF(ISNUMBER(NºAsuntos!I20/NºAsuntos!G20),NºAsuntos!I20/NºAsuntos!G20," - ")</f>
        <v>3.8454636091724828</v>
      </c>
      <c r="D20" s="807">
        <f>IF(ISNUMBER('Resol  Asuntos'!D20/NºAsuntos!G20),'Resol  Asuntos'!D20/NºAsuntos!G20," - ")</f>
        <v>0.16251246261216351</v>
      </c>
      <c r="E20" s="808">
        <f>IF(ISNUMBER((NºAsuntos!C20+NºAsuntos!E20)/NºAsuntos!G20),(NºAsuntos!C20+NºAsuntos!E20)/NºAsuntos!G20," - ")</f>
        <v>4.8418743768693915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bcRU4wlKdbDYT2uP5iZyR23/5QHqa8EotK/SWjnbaipu1ewX7maWFnqZyWeUvKTEXWkDRwRPqicxjCg7OdHVQ==" saltValue="SeRELUyNKw4y87GpZPRZW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 BARTOLOME DE TIRAJANA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401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814</v>
      </c>
      <c r="Y9" s="333">
        <f>SUM(W9:X9)</f>
        <v>814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13082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399</v>
      </c>
      <c r="AJ9" s="228" t="str">
        <f>IF(ISNUMBER(Datos!BW9),Datos!BW9," - ")</f>
        <v xml:space="preserve"> - </v>
      </c>
      <c r="AK9" s="227" t="str">
        <f>IF(ISNUMBER(Datos!BX9),Datos!BX9," - ")</f>
        <v xml:space="preserve"> - </v>
      </c>
      <c r="AL9" s="242">
        <f>IF(ISNUMBER(NºAsuntos!G9/NºAsuntos!E9),NºAsuntos!G9/NºAsuntos!E9," - ")</f>
        <v>0.71951653039459651</v>
      </c>
      <c r="AM9" s="259">
        <f>IF(ISNUMBER(((NºAsuntos!I9/NºAsuntos!G9)*11)/factor_trimestre),((NºAsuntos!I9/NºAsuntos!G9)*11)/factor_trimestre," - ")</f>
        <v>23.149209486166008</v>
      </c>
      <c r="AN9" s="243">
        <f>IF(ISNUMBER('Resol  Asuntos'!D9/NºAsuntos!G9),'Resol  Asuntos'!D9/NºAsuntos!G9," - ")</f>
        <v>0.19713438735177866</v>
      </c>
      <c r="AO9" s="244">
        <f>IF(ISNUMBER((NºAsuntos!C9+NºAsuntos!E9)/NºAsuntos!G9),(NºAsuntos!C9+NºAsuntos!E9)/NºAsuntos!G9," - ")</f>
        <v>8.7104743083003946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1</v>
      </c>
      <c r="Y10" s="333">
        <f t="shared" ref="Y10:Y12" si="0">SUM(W10:X10)</f>
        <v>17</v>
      </c>
      <c r="Z10" s="334" t="str">
        <f>IF(ISNUMBER(Datos!CC10),Datos!CC10," - ")</f>
        <v xml:space="preserve"> - </v>
      </c>
      <c r="AA10" s="331">
        <f>IF(ISNUMBER(Datos!L10),Datos!L10,"-")</f>
        <v>62</v>
      </c>
      <c r="AB10" s="333">
        <f>IF(ISNUMBER(Datos!R10),Datos!R10," - ")</f>
        <v>83</v>
      </c>
      <c r="AC10" s="333">
        <f t="shared" ref="AC10:AC12" si="1">IF(ISNUMBER(AA10+AB10),AA10+AB10," - ")</f>
        <v>145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1.0666666666666667</v>
      </c>
      <c r="AM10" s="259">
        <f>IF(ISNUMBER(((NºAsuntos!I10/NºAsuntos!G10)*11)/factor_trimestre),((NºAsuntos!I10/NºAsuntos!G10)*11)/factor_trimestre," - ")</f>
        <v>11.625</v>
      </c>
      <c r="AN10" s="243">
        <f>IF(ISNUMBER('Resol  Asuntos'!D10/NºAsuntos!G10),'Resol  Asuntos'!D10/NºAsuntos!G10," - ")</f>
        <v>1</v>
      </c>
      <c r="AO10" s="244">
        <f>IF(ISNUMBER((NºAsuntos!C10+NºAsuntos!E10)/NºAsuntos!G10),(NºAsuntos!C10+NºAsuntos!E10)/NºAsuntos!G10," - ")</f>
        <v>4.875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63</v>
      </c>
      <c r="G13" s="863">
        <f t="shared" si="3"/>
        <v>63</v>
      </c>
      <c r="H13" s="862">
        <f t="shared" si="3"/>
        <v>0</v>
      </c>
      <c r="I13" s="864">
        <f t="shared" si="3"/>
        <v>0</v>
      </c>
      <c r="J13" s="864">
        <f t="shared" si="3"/>
        <v>0</v>
      </c>
      <c r="K13" s="864">
        <f t="shared" si="3"/>
        <v>0</v>
      </c>
      <c r="L13" s="864">
        <f t="shared" si="3"/>
        <v>405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v>
      </c>
      <c r="X13" s="864">
        <f t="shared" si="4"/>
        <v>815</v>
      </c>
      <c r="Y13" s="865">
        <f t="shared" si="4"/>
        <v>831</v>
      </c>
      <c r="Z13" s="865">
        <f t="shared" si="4"/>
        <v>0</v>
      </c>
      <c r="AA13" s="865">
        <f t="shared" si="4"/>
        <v>62</v>
      </c>
      <c r="AB13" s="865">
        <f t="shared" si="4"/>
        <v>13165</v>
      </c>
      <c r="AC13" s="865">
        <f t="shared" si="4"/>
        <v>145</v>
      </c>
      <c r="AD13" s="865">
        <f t="shared" si="4"/>
        <v>0</v>
      </c>
      <c r="AE13" s="869">
        <f t="shared" si="4"/>
        <v>0</v>
      </c>
      <c r="AF13" s="862">
        <f t="shared" si="4"/>
        <v>0</v>
      </c>
      <c r="AG13" s="870">
        <f t="shared" si="4"/>
        <v>0</v>
      </c>
      <c r="AH13" s="867">
        <f t="shared" si="4"/>
        <v>0</v>
      </c>
      <c r="AI13" s="862">
        <f t="shared" si="4"/>
        <v>415</v>
      </c>
      <c r="AJ13" s="864">
        <f t="shared" si="4"/>
        <v>0</v>
      </c>
      <c r="AK13" s="867">
        <f>SUBTOTAL(9,AK9:AK12)</f>
        <v>0</v>
      </c>
      <c r="AL13" s="871">
        <f>IF(ISNUMBER(NºAsuntos!G13/NºAsuntos!E13),NºAsuntos!G13/NºAsuntos!E13," - ")</f>
        <v>0.7213578500707214</v>
      </c>
      <c r="AM13" s="871">
        <f>IF(ISNUMBER(((NºAsuntos!I13/NºAsuntos!G13)*11)/factor_trimestre),((NºAsuntos!I13/NºAsuntos!G13)*11)/factor_trimestre," - ")</f>
        <v>23.058823529411764</v>
      </c>
      <c r="AN13" s="872">
        <f>IF(ISNUMBER('Resol  Asuntos'!D13/NºAsuntos!G13),'Resol  Asuntos'!D13/NºAsuntos!G13," - ")</f>
        <v>0.20343137254901961</v>
      </c>
      <c r="AO13" s="873">
        <f>IF(ISNUMBER((NºAsuntos!C13+NºAsuntos!E13)/NºAsuntos!G13),(NºAsuntos!C13+NºAsuntos!E13)/NºAsuntos!G13," - ")</f>
        <v>8.6803921568627445</v>
      </c>
      <c r="AP13" s="874" t="str">
        <f t="shared" si="2"/>
        <v xml:space="preserve"> - </v>
      </c>
      <c r="AQ13" s="874">
        <f>IF(ISNUMBER((H13-W13+K13)/(F13)),(H13-W13+K13)/(F13)," - ")</f>
        <v>-0.25396825396825395</v>
      </c>
      <c r="AR13" s="875">
        <f>IF(ISNUMBER((Datos!P13-Datos!Q13)/(Datos!R13-Datos!P13+Datos!Q13)),(Datos!P13-Datos!Q13)/(Datos!R13-Datos!P13+Datos!Q13)," - ")</f>
        <v>-3.0202578268876613E-2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3571</v>
      </c>
      <c r="G15" s="332">
        <f>IF(ISNUMBER(IF(D_I="SI",Datos!I15,Datos!I15+Datos!AC15)),IF(D_I="SI",Datos!I15,Datos!I15+Datos!AC15)," - ")</f>
        <v>3564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2749</v>
      </c>
      <c r="X15" s="225">
        <f>IF(ISNUMBER(Datos!Q15),Datos!Q15," - ")</f>
        <v>36</v>
      </c>
      <c r="Y15" s="333">
        <f>SUM(W15)</f>
        <v>2749</v>
      </c>
      <c r="Z15" s="334" t="str">
        <f>IF(ISNUMBER(Datos!CC15),Datos!CC15," - ")</f>
        <v xml:space="preserve"> - </v>
      </c>
      <c r="AA15" s="331">
        <f>IF(ISNUMBER(IF(D_I="SI",Datos!L15,Datos!L15+Datos!AF15)),IF(D_I="SI",Datos!L15,Datos!L15+Datos!AF15)," - ")</f>
        <v>3329</v>
      </c>
      <c r="AB15" s="333">
        <f>IF(ISNUMBER(Datos!R15),Datos!R15," - ")</f>
        <v>739</v>
      </c>
      <c r="AC15" s="333">
        <f t="shared" ref="AC15:AC18" si="6">IF(ISNUMBER(AA15+AB15),AA15+AB15," - ")</f>
        <v>4068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363</v>
      </c>
      <c r="AJ15" s="230" t="str">
        <f>IF(ISNUMBER(Datos!BW15),Datos!BW15," - ")</f>
        <v xml:space="preserve"> - </v>
      </c>
      <c r="AK15" s="231" t="str">
        <f>IF(ISNUMBER(Datos!BX15),Datos!BX15," - ")</f>
        <v xml:space="preserve"> - </v>
      </c>
      <c r="AL15" s="242">
        <f>IF(ISNUMBER(NºAsuntos!G15/NºAsuntos!E15),NºAsuntos!G15/NºAsuntos!E15," - ")</f>
        <v>1.0965297167929797</v>
      </c>
      <c r="AM15" s="259">
        <f>IF(ISNUMBER(((NºAsuntos!I15/NºAsuntos!G15)*11)/factor_trimestre),((NºAsuntos!I15/NºAsuntos!G15)*11)/factor_trimestre," - ")</f>
        <v>3.6329574390687522</v>
      </c>
      <c r="AN15" s="243">
        <f>IF(ISNUMBER('Resol  Asuntos'!D15/NºAsuntos!G15),'Resol  Asuntos'!D15/NºAsuntos!G15," - ")</f>
        <v>0.13204801746089487</v>
      </c>
      <c r="AO15" s="244">
        <f>IF(ISNUMBER((NºAsuntos!C15+NºAsuntos!E15)/NºAsuntos!G15),(NºAsuntos!C15+NºAsuntos!E15)/NºAsuntos!G15," - ")</f>
        <v>2.2084394325209167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2</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273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226</v>
      </c>
      <c r="X18" s="225">
        <f>IF(ISNUMBER(Datos!Q18),Datos!Q18," - ")</f>
        <v>5</v>
      </c>
      <c r="Y18" s="333">
        <f t="shared" si="9"/>
        <v>231</v>
      </c>
      <c r="Z18" s="334" t="str">
        <f>IF(ISNUMBER(Datos!CC18),Datos!CC18," - ")</f>
        <v xml:space="preserve"> - </v>
      </c>
      <c r="AA18" s="331">
        <f>IF(ISNUMBER(Datos!L18),Datos!L18,"-")</f>
        <v>274</v>
      </c>
      <c r="AB18" s="333">
        <f>IF(ISNUMBER(Datos!R18),Datos!R18," - ")</f>
        <v>29</v>
      </c>
      <c r="AC18" s="333">
        <f t="shared" si="6"/>
        <v>303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37</v>
      </c>
      <c r="AJ18" s="230" t="str">
        <f>IF(ISNUMBER(Datos!BW18),Datos!BW18," - ")</f>
        <v xml:space="preserve"> - </v>
      </c>
      <c r="AK18" s="231" t="str">
        <f>IF(ISNUMBER(Datos!BX18),Datos!BX18," - ")</f>
        <v xml:space="preserve"> - </v>
      </c>
      <c r="AL18" s="242">
        <f>IF(ISNUMBER(NºAsuntos!G18/NºAsuntos!E18),NºAsuntos!G18/NºAsuntos!E18," - ")</f>
        <v>0.99122807017543857</v>
      </c>
      <c r="AM18" s="259">
        <f>IF(ISNUMBER(((NºAsuntos!I18/NºAsuntos!G18)*11)/factor_trimestre),((NºAsuntos!I18/NºAsuntos!G18)*11)/factor_trimestre," - ")</f>
        <v>3.6371681415929209</v>
      </c>
      <c r="AN18" s="243">
        <f>IF(ISNUMBER('Resol  Asuntos'!D18/NºAsuntos!G18),'Resol  Asuntos'!D18/NºAsuntos!G18," - ")</f>
        <v>0.16371681415929204</v>
      </c>
      <c r="AO18" s="244">
        <f>IF(ISNUMBER((NºAsuntos!C18+NºAsuntos!E18)/NºAsuntos!G18),(NºAsuntos!C18+NºAsuntos!E18)/NºAsuntos!G18," - ")</f>
        <v>2.2168141592920354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3573</v>
      </c>
      <c r="G19" s="863">
        <f>SUBTOTAL(9,G15:G18)</f>
        <v>3839</v>
      </c>
      <c r="H19" s="862">
        <f t="shared" ref="H19:O19" si="12">SUBTOTAL(9,H14:H18)</f>
        <v>0</v>
      </c>
      <c r="I19" s="864">
        <f t="shared" si="12"/>
        <v>0</v>
      </c>
      <c r="J19" s="864">
        <f t="shared" si="12"/>
        <v>0</v>
      </c>
      <c r="K19" s="864">
        <f t="shared" si="12"/>
        <v>0</v>
      </c>
      <c r="L19" s="864">
        <f t="shared" si="12"/>
        <v>69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2975</v>
      </c>
      <c r="X19" s="864">
        <f t="shared" si="13"/>
        <v>41</v>
      </c>
      <c r="Y19" s="865">
        <f t="shared" si="13"/>
        <v>2980</v>
      </c>
      <c r="Z19" s="865">
        <f t="shared" si="13"/>
        <v>0</v>
      </c>
      <c r="AA19" s="865">
        <f t="shared" si="13"/>
        <v>3605</v>
      </c>
      <c r="AB19" s="865">
        <f t="shared" si="13"/>
        <v>768</v>
      </c>
      <c r="AC19" s="865">
        <f t="shared" si="13"/>
        <v>4373</v>
      </c>
      <c r="AD19" s="865">
        <f t="shared" si="13"/>
        <v>0</v>
      </c>
      <c r="AE19" s="869">
        <f t="shared" si="13"/>
        <v>0</v>
      </c>
      <c r="AF19" s="862">
        <f t="shared" si="13"/>
        <v>0</v>
      </c>
      <c r="AG19" s="870">
        <f t="shared" si="13"/>
        <v>0</v>
      </c>
      <c r="AH19" s="867">
        <f t="shared" si="13"/>
        <v>0</v>
      </c>
      <c r="AI19" s="862">
        <f t="shared" si="13"/>
        <v>400</v>
      </c>
      <c r="AJ19" s="864">
        <f t="shared" si="13"/>
        <v>0</v>
      </c>
      <c r="AK19" s="867">
        <f t="shared" si="13"/>
        <v>0</v>
      </c>
      <c r="AL19" s="871">
        <f>IF(ISNUMBER(NºAsuntos!G19/NºAsuntos!E19),NºAsuntos!G19/NºAsuntos!E19," - ")</f>
        <v>1.0877513711151736</v>
      </c>
      <c r="AM19" s="871">
        <f>IF(ISNUMBER(((NºAsuntos!I19/NºAsuntos!G19)*11)/factor_trimestre),((NºAsuntos!I19/NºAsuntos!G19)*11)/factor_trimestre," - ")</f>
        <v>3.6352941176470588</v>
      </c>
      <c r="AN19" s="872">
        <f>IF(ISNUMBER('Resol  Asuntos'!D19/NºAsuntos!G19),'Resol  Asuntos'!D19/NºAsuntos!G19," - ")</f>
        <v>0.13445378151260504</v>
      </c>
      <c r="AO19" s="873">
        <f>IF(ISNUMBER((NºAsuntos!C19+NºAsuntos!E19)/NºAsuntos!G19),(NºAsuntos!C19+NºAsuntos!E19)/NºAsuntos!G19," - ")</f>
        <v>2.2097478991596637</v>
      </c>
      <c r="AP19" s="874" t="str">
        <f t="shared" si="2"/>
        <v xml:space="preserve"> - </v>
      </c>
      <c r="AQ19" s="874">
        <f>IF(ISNUMBER((H19-W19+K19)/(F19)),(H19-W19+K19)/(F19)," - ")</f>
        <v>-0.83263364119787298</v>
      </c>
      <c r="AR19" s="875">
        <f>IF(ISNUMBER((Datos!P19-Datos!Q19)/(Datos!R19-Datos!P19+Datos!Q19)),(Datos!P19-Datos!Q19)/(Datos!R19-Datos!P19+Datos!Q19)," - ")</f>
        <v>3.783783783783784E-2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3636</v>
      </c>
      <c r="G20" s="818">
        <f t="shared" si="15"/>
        <v>3902</v>
      </c>
      <c r="H20" s="817">
        <f t="shared" si="15"/>
        <v>0</v>
      </c>
      <c r="I20" s="819">
        <f t="shared" si="15"/>
        <v>0</v>
      </c>
      <c r="J20" s="819">
        <f t="shared" si="15"/>
        <v>0</v>
      </c>
      <c r="K20" s="878">
        <f t="shared" si="15"/>
        <v>0</v>
      </c>
      <c r="L20" s="819">
        <f t="shared" si="15"/>
        <v>474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2991</v>
      </c>
      <c r="X20" s="818">
        <f t="shared" si="16"/>
        <v>856</v>
      </c>
      <c r="Y20" s="825">
        <f t="shared" si="16"/>
        <v>3811</v>
      </c>
      <c r="Z20" s="825">
        <f t="shared" si="16"/>
        <v>0</v>
      </c>
      <c r="AA20" s="825">
        <f t="shared" si="16"/>
        <v>3667</v>
      </c>
      <c r="AB20" s="825">
        <f t="shared" si="16"/>
        <v>13933</v>
      </c>
      <c r="AC20" s="825">
        <f t="shared" si="16"/>
        <v>4518</v>
      </c>
      <c r="AD20" s="825">
        <f t="shared" si="16"/>
        <v>0</v>
      </c>
      <c r="AE20" s="827">
        <f t="shared" si="16"/>
        <v>0</v>
      </c>
      <c r="AF20" s="828">
        <f t="shared" si="16"/>
        <v>0</v>
      </c>
      <c r="AG20" s="829">
        <f t="shared" si="16"/>
        <v>0</v>
      </c>
      <c r="AH20" s="827">
        <f t="shared" si="16"/>
        <v>0</v>
      </c>
      <c r="AI20" s="817">
        <f t="shared" si="16"/>
        <v>815</v>
      </c>
      <c r="AJ20" s="817">
        <f t="shared" si="16"/>
        <v>0</v>
      </c>
      <c r="AK20" s="827">
        <f t="shared" si="16"/>
        <v>0</v>
      </c>
      <c r="AL20" s="881">
        <f>IF(ISNUMBER(NºAsuntos!G20/NºAsuntos!E20),NºAsuntos!G20/NºAsuntos!E20," - ")</f>
        <v>0.90149200071903646</v>
      </c>
      <c r="AM20" s="882">
        <f>IF(ISNUMBER(((NºAsuntos!I20/NºAsuntos!G20)*11)/factor_trimestre),((NºAsuntos!I20/NºAsuntos!G20)*11)/factor_trimestre," - ")</f>
        <v>11.536390827517449</v>
      </c>
      <c r="AN20" s="882">
        <f>IF(ISNUMBER('Resol  Asuntos'!D20/NºAsuntos!G20),'Resol  Asuntos'!D20/NºAsuntos!G20," - ")</f>
        <v>0.16251246261216351</v>
      </c>
      <c r="AO20" s="883">
        <f>IF(ISNUMBER((NºAsuntos!C20+NºAsuntos!E20)/NºAsuntos!G20),(NºAsuntos!C20+NºAsuntos!E20)/NºAsuntos!G20," - ")</f>
        <v>4.8418743768693915</v>
      </c>
      <c r="AP20" s="884" t="str">
        <f t="shared" si="2"/>
        <v xml:space="preserve"> - </v>
      </c>
      <c r="AQ20" s="885">
        <f>IF(OR(ISNUMBER(FIND("01",Criterios!A8,1)),ISNUMBER(FIND("02",Criterios!A8,1)),ISNUMBER(FIND("03",Criterios!A8,1)),ISNUMBER(FIND("04",Criterios!A8,1))),(I20-W20+K20)/(F20-K20),(H20-W20+K20)/(F20-K20))</f>
        <v>-0.8226072607260726</v>
      </c>
      <c r="AR20" s="886">
        <f>IF(ISNUMBER((Datos!P20-Datos!Q20)/(Datos!R20-Datos!P20+Datos!Q20)),(Datos!P20-Datos!Q20)/(Datos!R20-Datos!P20+Datos!Q20)," - ")</f>
        <v>-2.6685295144952846E-2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1300.6666666666667</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2.7968235951204043</v>
      </c>
      <c r="F22" s="251">
        <f>IF(ISNUMBER(STDEV(F8:F19)),STDEV(F8:F19),"-")</f>
        <v>1933.256009947984</v>
      </c>
      <c r="G22" s="252">
        <f>IF(ISNUMBER(STDEV(G8:G19)),STDEV(G8:G19),"-")</f>
        <v>1863.9788267753117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1448.8036443907781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202.18096561531914</v>
      </c>
      <c r="AJ22" s="251">
        <f t="shared" si="20"/>
        <v>0</v>
      </c>
      <c r="AK22" s="253">
        <f t="shared" si="20"/>
        <v>0</v>
      </c>
      <c r="AL22" s="248">
        <f t="shared" si="20"/>
        <v>0.17950445282729505</v>
      </c>
      <c r="AM22" s="249">
        <f t="shared" si="20"/>
        <v>9.5381632296564618</v>
      </c>
      <c r="AN22" s="249">
        <f t="shared" si="20"/>
        <v>0.34174125107745879</v>
      </c>
      <c r="AO22" s="250">
        <f t="shared" si="20"/>
        <v>3.1765271316731405</v>
      </c>
      <c r="AP22" s="290" t="str">
        <f t="shared" si="20"/>
        <v>-</v>
      </c>
      <c r="AQ22" s="291">
        <f t="shared" si="20"/>
        <v>0.40917821934800297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0Ijjgqg8Qc0nljEJ0Pryay0cVJRJJaHJFVHZJla9DLJdgw/Q+xAQ7dNa2RjgKTeDYmuI8LhA5g0VEstWhrkw==" saltValue="JScLi5PFH693qMjT/CFX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 BARTOLOME DE TIRAJANA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-0.41921397379912662</v>
      </c>
      <c r="I9" s="349">
        <f>IF(ISNUMBER((Tasas!C9-Datos!BE9)/Datos!BE9),(Tasas!C9-Datos!BE9)/Datos!BE9," - ")</f>
        <v>0.85732355833740126</v>
      </c>
      <c r="J9" s="348">
        <f>IF(ISNUMBER((Tasas!D9-Datos!BF9)/Datos!BF9),(Tasas!D9-Datos!BF9)/Datos!BF9," - ")</f>
        <v>-0.70640502941084926</v>
      </c>
      <c r="K9" s="350">
        <f>IF(ISNUMBER((Tasas!E9-Datos!BG9)/Datos!BG9),(Tasas!E9-Datos!BG9)/Datos!BG9," - ")</f>
        <v>0.688943322068302</v>
      </c>
      <c r="M9" t="e">
        <f>IF(Monitorios="SI",Datos!CE9,0)</f>
        <v>#REF!</v>
      </c>
      <c r="N9" t="e">
        <f>IF(Monitorios="SI",Datos!CF9,0)</f>
        <v>#REF!</v>
      </c>
      <c r="O9" t="e">
        <f>IF(Monitorios="SI",Datos!CG9,0)</f>
        <v>#REF!</v>
      </c>
      <c r="P9" t="e">
        <f>IF(Monitorios="SI",Datos!CH9,0)</f>
        <v>#REF!</v>
      </c>
      <c r="Q9">
        <f>IF(J_V="SI",0,Datos!AG9)</f>
        <v>304</v>
      </c>
      <c r="R9">
        <f>IF(J_V="SI",0,Datos!AH9)</f>
        <v>85</v>
      </c>
      <c r="S9">
        <f>IF(J_V="SI",0,Datos!AI9)</f>
        <v>84</v>
      </c>
      <c r="T9">
        <f>IF(J_V="SI",0,Datos!AJ9)</f>
        <v>295</v>
      </c>
    </row>
    <row r="10" spans="2:20" ht="14.25">
      <c r="B10" s="274" t="s">
        <v>247</v>
      </c>
      <c r="C10" s="7" t="str">
        <f>Datos!A10</f>
        <v>Sección De Violencia sobre la Mujer del TI</v>
      </c>
      <c r="D10" s="351">
        <f>IF(ISNUMBER((Datos!I10-Datos!S10)/Datos!S10),(Datos!I10-Datos!S10)/Datos!S10," - ")</f>
        <v>-0.24096385542168675</v>
      </c>
      <c r="E10" s="347">
        <f>IF(ISNUMBER((Datos!J10-Datos!T10)/Datos!T10),(Datos!J10-Datos!T10)/Datos!T10," - ")</f>
        <v>-0.625</v>
      </c>
      <c r="F10" s="347">
        <f>IF(ISNUMBER((Datos!K10-Datos!U10)/Datos!U10),(Datos!K10-Datos!U10)/Datos!U10," - ")</f>
        <v>-0.4838709677419355</v>
      </c>
      <c r="G10" s="348">
        <f>IF(ISNUMBER((Datos!L10-Datos!V10)/Datos!V10),(Datos!L10-Datos!V10)/Datos!V10," - ")</f>
        <v>-0.32608695652173914</v>
      </c>
      <c r="H10" s="229">
        <f>IF(ISNUMBER((Datos!M10-Datos!W10)/Datos!W10),(Datos!M10-Datos!W10)/Datos!W10," - ")</f>
        <v>-5.8823529411764705E-2</v>
      </c>
      <c r="I10" s="349">
        <f>IF(ISNUMBER((Tasas!C10-Datos!BE10)/Datos!BE10),(Tasas!C10-Datos!BE10)/Datos!BE10," - ")</f>
        <v>0.30570652173913043</v>
      </c>
      <c r="J10" s="348">
        <f>IF(ISNUMBER((Tasas!D10-Datos!BF10)/Datos!BF10),(Tasas!D10-Datos!BF10)/Datos!BF10," - ")</f>
        <v>0.82352941176470607</v>
      </c>
      <c r="K10" s="350">
        <f>IF(ISNUMBER((Tasas!E10-Datos!BG10)/Datos!BG10),(Tasas!E10-Datos!BG10)/Datos!BG10," - ")</f>
        <v>0.22865853658536583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-0.41051136363636365</v>
      </c>
      <c r="I13" s="356">
        <f>IF(ISNUMBER((Tasas!C13-Datos!BE13)/Datos!BE13),(Tasas!C13-Datos!BE13)/Datos!BE13," - ")</f>
        <v>0.85417360869863201</v>
      </c>
      <c r="J13" s="354">
        <f>IF(ISNUMBER((Tasas!D13-Datos!BF13)/Datos!BF13),(Tasas!D13-Datos!BF13)/Datos!BF13," - ")</f>
        <v>-0.69659620554630197</v>
      </c>
      <c r="K13" s="357">
        <f>IF(ISNUMBER((Tasas!E13-Datos!BG13)/Datos!BG13),(Tasas!E13-Datos!BG13)/Datos!BG13," - ")</f>
        <v>0.68612237014370936</v>
      </c>
      <c r="M13" t="e">
        <f>IF(Monitorios="SI",Datos!CE13,0)</f>
        <v>#REF!</v>
      </c>
      <c r="N13" t="e">
        <f>IF(Monitorios="SI",Datos!CF13,0)</f>
        <v>#REF!</v>
      </c>
      <c r="O13" t="e">
        <f>IF(Monitorios="SI",Datos!CG13,0)</f>
        <v>#REF!</v>
      </c>
      <c r="P13" t="e">
        <f>IF(Monitorios="SI",Datos!CH13,0)</f>
        <v>#REF!</v>
      </c>
      <c r="Q13">
        <f>IF(J_V="SI",0,Datos!AG13)</f>
        <v>304</v>
      </c>
      <c r="R13">
        <f>IF(J_V="SI",0,Datos!AH13)</f>
        <v>85</v>
      </c>
      <c r="S13">
        <f>IF(J_V="SI",0,Datos!AI13)</f>
        <v>84</v>
      </c>
      <c r="T13">
        <f>IF(J_V="SI",0,Datos!AJ13)</f>
        <v>295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0.39545810493343775</v>
      </c>
      <c r="E15" s="347">
        <f>IF(ISNUMBER(
   IF(D_I="SI",(Datos!J15-Datos!T15)/Datos!T15,(Datos!J15+Datos!AD15-(Datos!T15+Datos!AL15))/(Datos!T15+Datos!AL15))
     ),IF(D_I="SI",(Datos!J15-Datos!T15)/Datos!T15,(Datos!J15+Datos!AD15-(Datos!T15+Datos!AL15))/(Datos!T15+Datos!AL15))," - ")</f>
        <v>-0.13937521455544113</v>
      </c>
      <c r="F15" s="347">
        <f>IF(ISNUMBER(
   IF(D_I="SI",(Datos!K15-Datos!U15)/Datos!U15,(Datos!K15+Datos!AE15-(Datos!U15+Datos!AM15))/(Datos!U15+Datos!AM15))
     ),IF(D_I="SI",(Datos!K15-Datos!U15)/Datos!U15,(Datos!K15+Datos!AE15-(Datos!U15+Datos!AM15))/(Datos!U15+Datos!AM15))," - ")</f>
        <v>-8.7620311981413873E-2</v>
      </c>
      <c r="G15" s="348">
        <f>IF(ISNUMBER(
   IF(D_I="SI",(Datos!L15-Datos!V15)/Datos!V15,(Datos!L15+Datos!AF15-(Datos!V15+Datos!AN15))/(Datos!V15+Datos!AN15))
     ),IF(D_I="SI",(Datos!L15-Datos!V15)/Datos!V15,(Datos!L15+Datos!AF15-(Datos!V15+Datos!AN15))/(Datos!V15+Datos!AN15))," - ")</f>
        <v>0.34125705076551166</v>
      </c>
      <c r="H15" s="229">
        <f>IF(ISNUMBER((Datos!M15-Datos!W15)/Datos!W15),(Datos!M15-Datos!W15)/Datos!W15," - ")</f>
        <v>1.1142061281337047E-2</v>
      </c>
      <c r="I15" s="349">
        <f>IF(ISNUMBER((Tasas!C15-Datos!BE15)/Datos!BE15),(Tasas!C15-Datos!BE15)/Datos!BE15," - ")</f>
        <v>0.47006456673571723</v>
      </c>
      <c r="J15" s="348">
        <f>IF(ISNUMBER((Tasas!D15-Datos!BF15)/Datos!BF15),(Tasas!D15-Datos!BF15)/Datos!BF15," - ")</f>
        <v>0.10824701005480847</v>
      </c>
      <c r="K15" s="350">
        <f>IF(ISNUMBER((Tasas!E15-Datos!BG15)/Datos!BG15),(Tasas!E15-Datos!BG15)/Datos!BG15," - ")</f>
        <v>0.21712603076376841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-0.33333333333333331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0.421875</v>
      </c>
      <c r="E18" s="347">
        <f>IF(ISNUMBER(
   IF(D_I="SI",(Datos!J18-Datos!T18)/Datos!T18,(Datos!J18+Datos!AD18-(Datos!T18+Datos!AL18))/(Datos!T18+Datos!AL18))
     ),IF(D_I="SI",(Datos!J18-Datos!T18)/Datos!T18,(Datos!J18+Datos!AD18-(Datos!T18+Datos!AL18))/(Datos!T18+Datos!AL18))," - ")</f>
        <v>-0.17391304347826086</v>
      </c>
      <c r="F18" s="347">
        <f>IF(ISNUMBER(
   IF(D_I="SI",(Datos!K18-Datos!U18)/Datos!U18,(Datos!K18+Datos!AE18-(Datos!U18+Datos!AM18))/(Datos!U18+Datos!AM18))
     ),IF(D_I="SI",(Datos!K18-Datos!U18)/Datos!U18,(Datos!K18+Datos!AE18-(Datos!U18+Datos!AM18))/(Datos!U18+Datos!AM18))," - ")</f>
        <v>-1.7391304347826087E-2</v>
      </c>
      <c r="G18" s="348">
        <f>IF(ISNUMBER(
   IF(D_I="SI",(Datos!L18-Datos!V18)/Datos!V18,(Datos!L18+Datos!AF18-(Datos!V18+Datos!AN18))/(Datos!V18+Datos!AN18))
     ),IF(D_I="SI",(Datos!L18-Datos!V18)/Datos!V18,(Datos!L18+Datos!AF18-(Datos!V18+Datos!AN18))/(Datos!V18+Datos!AN18))," - ")</f>
        <v>0.14644351464435146</v>
      </c>
      <c r="H18" s="229">
        <f>IF(ISNUMBER((Datos!M18-Datos!W18)/Datos!W18),(Datos!M18-Datos!W18)/Datos!W18," - ")</f>
        <v>-0.28846153846153844</v>
      </c>
      <c r="I18" s="349">
        <f>IF(ISNUMBER((Tasas!C18-Datos!BE18)/Datos!BE18),(Tasas!C18-Datos!BE18)/Datos!BE18," - ")</f>
        <v>0.16673455030177373</v>
      </c>
      <c r="J18" s="348">
        <f>IF(ISNUMBER((Tasas!D18-Datos!BF18)/Datos!BF18),(Tasas!D18-Datos!BF18)/Datos!BF18," - ")</f>
        <v>-0.27586793737236215</v>
      </c>
      <c r="K18" s="350">
        <f>IF(ISNUMBER((Tasas!E18-Datos!BG18)/Datos!BG18),(Tasas!E18-Datos!BG18)/Datos!BG18," - ")</f>
        <v>8.9459950079419218E-2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0.39397240377632536</v>
      </c>
      <c r="E19" s="353">
        <f>IF(ISNUMBER(
   IF(D_I="SI",(Datos!J19-Datos!T19)/Datos!T19,(Datos!J19+Datos!AD19-(Datos!T19+Datos!AL19))/(Datos!T19+Datos!AL19))
     ),IF(D_I="SI",(Datos!J19-Datos!T19)/Datos!T19,(Datos!J19+Datos!AD19-(Datos!T19+Datos!AL19))/(Datos!T19+Datos!AL19))," - ")</f>
        <v>-0.14236437754782064</v>
      </c>
      <c r="F19" s="353">
        <f>IF(ISNUMBER(
   IF(D_I="SI",(Datos!K19-Datos!U19)/Datos!U19,(Datos!K19+Datos!AE19-(Datos!U19+Datos!AM19))/(Datos!U19+Datos!AM19))
     ),IF(D_I="SI",(Datos!K19-Datos!U19)/Datos!U19,(Datos!K19+Datos!AE19-(Datos!U19+Datos!AM19))/(Datos!U19+Datos!AM19))," - ")</f>
        <v>-8.3769633507853408E-2</v>
      </c>
      <c r="G19" s="354">
        <f>IF(ISNUMBER(
   IF(D_I="SI",(Datos!L19-Datos!V19)/Datos!V19,(Datos!L19+Datos!AF19-(Datos!V19+Datos!AN19))/(Datos!V19+Datos!AN19))
     ),IF(D_I="SI",(Datos!L19-Datos!V19)/Datos!V19,(Datos!L19+Datos!AF19-(Datos!V19+Datos!AN19))/(Datos!V19+Datos!AN19))," - ")</f>
        <v>0.3234214390602056</v>
      </c>
      <c r="H19" s="355">
        <f>IF(ISNUMBER((Datos!M19-Datos!W19)/Datos!W19),(Datos!M19-Datos!W19)/Datos!W19," - ")</f>
        <v>-2.6763990267639901E-2</v>
      </c>
      <c r="I19" s="356">
        <f>IF(ISNUMBER((Tasas!C19-Datos!BE19)/Datos!BE19),(Tasas!C19-Datos!BE19)/Datos!BE19," - ")</f>
        <v>0.44441997063142424</v>
      </c>
      <c r="J19" s="354">
        <f>IF(ISNUMBER((Tasas!D19-Datos!BF19)/Datos!BF19),(Tasas!D19-Datos!BF19)/Datos!BF19," - ")</f>
        <v>6.2217587765032979E-2</v>
      </c>
      <c r="K19" s="357">
        <f>IF(ISNUMBER((Tasas!E19-Datos!BG19)/Datos!BG19),(Tasas!E19-Datos!BG19)/Datos!BG19," - ")</f>
        <v>0.20731136270762718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9.461435003800947E-2</v>
      </c>
      <c r="E20" s="362">
        <f>IF(ISNUMBER(
   IF(J_V="SI",(Datos!J20-Datos!T20)/Datos!T20,(Datos!J20+Datos!Z20-(Datos!T20+Datos!AH20))/(Datos!T20+Datos!AH20))
     ),IF(J_V="SI",(Datos!J20-Datos!T20)/Datos!T20,(Datos!J20+Datos!Z20-(Datos!T20+Datos!AH20))/(Datos!T20+Datos!AH20))," - ")</f>
        <v>-0.41132275132275131</v>
      </c>
      <c r="F20" s="362">
        <f>IF(ISNUMBER(
   IF(J_V="SI",(Datos!K20-Datos!U20)/Datos!U20,(Datos!K20+Datos!AA20-(Datos!U20+Datos!AI20))/(Datos!U20+Datos!AI20))
     ),IF(J_V="SI",(Datos!K20-Datos!U20)/Datos!U20,(Datos!K20+Datos!AA20-(Datos!U20+Datos!AI20))/(Datos!U20+Datos!AI20))," - ")</f>
        <v>-0.30827586206896551</v>
      </c>
      <c r="G20" s="363">
        <f>IF(ISNUMBER(
   IF(J_V="SI",(Datos!L20-Datos!V20)/Datos!V20,(Datos!L20+Datos!AB20-(Datos!V20+Datos!AJ20))/(Datos!V20+Datos!AJ20))
     ),IF(J_V="SI",(Datos!L20-Datos!V20)/Datos!V20,(Datos!L20+Datos!AB20-(Datos!V20+Datos!AJ20))/(Datos!V20+Datos!AJ20))," - ")</f>
        <v>-1.7082513717776168E-3</v>
      </c>
      <c r="H20" s="364">
        <f>IF(ISNUMBER((Datos!M20-Datos!W20)/Datos!W20),(Datos!M20-Datos!W20)/Datos!W20," - ")</f>
        <v>-0.26905829596412556</v>
      </c>
      <c r="I20" s="361">
        <f>IF(ISNUMBER((Tasas!C20-Datos!BE20)/Datos!BE20),(Tasas!C20-Datos!BE20)/Datos!BE20," - ")</f>
        <v>0.44319345514548619</v>
      </c>
      <c r="J20" s="362">
        <f>IF(ISNUMBER((Tasas!D20-Datos!BF20)/Datos!BF20),(Tasas!D20-Datos!BF20)/Datos!BF20," - ")</f>
        <v>-0.61931652538346194</v>
      </c>
      <c r="K20" s="363">
        <f>IF(ISNUMBER((Tasas!E20-Datos!BG20)/Datos!BG20),(Tasas!E20-Datos!BG20)/Datos!BG20," - ")</f>
        <v>0.3221192886257801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0.52450771541150387</v>
      </c>
      <c r="E22" s="277">
        <f t="shared" si="1"/>
        <v>0.2370733243966954</v>
      </c>
      <c r="F22" s="277">
        <f t="shared" si="1"/>
        <v>0.41520330961644192</v>
      </c>
      <c r="G22" s="278">
        <f t="shared" si="1"/>
        <v>0.33739614594851086</v>
      </c>
      <c r="H22" s="284">
        <f t="shared" si="1"/>
        <v>0.19733660491186675</v>
      </c>
      <c r="I22" s="276">
        <f t="shared" si="1"/>
        <v>0.28436091460476326</v>
      </c>
      <c r="J22" s="277">
        <f t="shared" si="1"/>
        <v>0.57895957177089097</v>
      </c>
      <c r="K22" s="278">
        <f t="shared" si="1"/>
        <v>0.2639808619021034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3O/EqLEFipE/RHDwRBFZ370OQCfQQEQDjboh1Po+S6PpeWT3xpROFsYC6Qj1K9LIJflh2alzNpXVZAoP84D/w==" saltValue="NDSUqXlx0PM/bEdRKG6GZ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